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65002f7bd2cad76/U/Research/"/>
    </mc:Choice>
  </mc:AlternateContent>
  <xr:revisionPtr revIDLastSave="149" documentId="8_{05A99690-2280-452D-9A38-16C6AE755481}" xr6:coauthVersionLast="47" xr6:coauthVersionMax="47" xr10:uidLastSave="{AEF0CFD0-27FB-4489-8B24-28A9626D4765}"/>
  <bookViews>
    <workbookView xWindow="-120" yWindow="-120" windowWidth="29040" windowHeight="15720" activeTab="2" xr2:uid="{1B018032-DA66-41C3-84CE-69A89229F9D4}"/>
  </bookViews>
  <sheets>
    <sheet name="Open Cell (Cylinder Test)" sheetId="2" r:id="rId1"/>
    <sheet name="Sand (Double Ring Test)" sheetId="4" r:id="rId2"/>
    <sheet name="Summary" sheetId="3" r:id="rId3"/>
  </sheets>
  <definedNames>
    <definedName name="_xlchart.v1.0" hidden="1">Summary!$B$3:$B$5</definedName>
    <definedName name="_xlchart.v1.1" hidden="1">Summary!$C$3:$C$5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D5" i="3" s="1"/>
  <c r="C4" i="3"/>
  <c r="D4" i="3" s="1"/>
  <c r="C3" i="3"/>
  <c r="D3" i="3" s="1"/>
  <c r="C9" i="3"/>
  <c r="C8" i="3"/>
  <c r="K24" i="4"/>
  <c r="G21" i="4"/>
  <c r="I21" i="4" s="1"/>
  <c r="E21" i="4"/>
  <c r="H21" i="4" s="1"/>
  <c r="J21" i="4" s="1"/>
  <c r="D21" i="4"/>
  <c r="E20" i="4"/>
  <c r="H20" i="4" s="1"/>
  <c r="J20" i="4" s="1"/>
  <c r="D20" i="4"/>
  <c r="G20" i="4" s="1"/>
  <c r="I20" i="4" s="1"/>
  <c r="E19" i="4"/>
  <c r="H19" i="4" s="1"/>
  <c r="J19" i="4" s="1"/>
  <c r="D19" i="4"/>
  <c r="G19" i="4" s="1"/>
  <c r="I19" i="4" s="1"/>
  <c r="C37" i="2"/>
  <c r="C38" i="2" s="1"/>
  <c r="C39" i="2" s="1"/>
  <c r="F30" i="2"/>
  <c r="G30" i="2" s="1"/>
  <c r="P29" i="2"/>
  <c r="I26" i="2"/>
  <c r="J26" i="2" s="1"/>
  <c r="K26" i="2" s="1"/>
  <c r="H26" i="2"/>
  <c r="D26" i="2"/>
  <c r="E26" i="2" s="1"/>
  <c r="C26" i="2"/>
  <c r="F26" i="2" s="1"/>
  <c r="G26" i="2" s="1"/>
  <c r="P25" i="2"/>
  <c r="I25" i="2"/>
  <c r="J25" i="2" s="1"/>
  <c r="K25" i="2" s="1"/>
  <c r="D25" i="2"/>
  <c r="E25" i="2" s="1"/>
  <c r="F25" i="2" s="1"/>
  <c r="G25" i="2" s="1"/>
  <c r="C25" i="2"/>
  <c r="I24" i="2"/>
  <c r="J24" i="2" s="1"/>
  <c r="K24" i="2" s="1"/>
  <c r="D24" i="2"/>
  <c r="E24" i="2" s="1"/>
  <c r="F24" i="2" s="1"/>
  <c r="G24" i="2" s="1"/>
  <c r="C24" i="2"/>
  <c r="P23" i="2"/>
  <c r="I23" i="2"/>
  <c r="J23" i="2" s="1"/>
  <c r="K23" i="2" s="1"/>
  <c r="E23" i="2"/>
  <c r="F23" i="2" s="1"/>
  <c r="G23" i="2" s="1"/>
  <c r="D23" i="2"/>
  <c r="C23" i="2"/>
  <c r="I22" i="2"/>
  <c r="J22" i="2" s="1"/>
  <c r="K22" i="2" s="1"/>
  <c r="E22" i="2"/>
  <c r="D22" i="2"/>
  <c r="I21" i="2"/>
  <c r="J21" i="2" s="1"/>
  <c r="K21" i="2" s="1"/>
  <c r="E21" i="2"/>
  <c r="F21" i="2" s="1"/>
  <c r="G21" i="2" s="1"/>
  <c r="D21" i="2"/>
  <c r="C21" i="2"/>
  <c r="O20" i="2"/>
  <c r="I20" i="2"/>
  <c r="J20" i="2" s="1"/>
  <c r="K20" i="2" s="1"/>
  <c r="D20" i="2"/>
  <c r="E20" i="2" s="1"/>
  <c r="F20" i="2" s="1"/>
  <c r="G20" i="2" s="1"/>
  <c r="C20" i="2"/>
  <c r="I19" i="2"/>
  <c r="J19" i="2" s="1"/>
  <c r="K19" i="2" s="1"/>
  <c r="D19" i="2"/>
  <c r="E19" i="2" s="1"/>
  <c r="F19" i="2" s="1"/>
  <c r="G19" i="2" s="1"/>
  <c r="I18" i="2"/>
  <c r="J18" i="2" s="1"/>
  <c r="E18" i="2"/>
  <c r="F18" i="2" s="1"/>
  <c r="G18" i="2" s="1"/>
  <c r="D18" i="2"/>
  <c r="E17" i="2"/>
  <c r="F17" i="2" s="1"/>
  <c r="G17" i="2" s="1"/>
  <c r="E16" i="2"/>
  <c r="F16" i="2" s="1"/>
  <c r="G16" i="2" s="1"/>
  <c r="S15" i="2"/>
  <c r="C22" i="2" s="1"/>
  <c r="F22" i="2" s="1"/>
  <c r="G22" i="2" s="1"/>
  <c r="M12" i="2"/>
  <c r="M11" i="2"/>
  <c r="P10" i="2"/>
  <c r="P11" i="2" s="1"/>
  <c r="J10" i="2"/>
  <c r="Q8" i="2"/>
  <c r="J8" i="2"/>
  <c r="Q7" i="2"/>
  <c r="J6" i="2"/>
  <c r="J4" i="2"/>
  <c r="T3" i="2"/>
  <c r="T4" i="2" s="1"/>
  <c r="Q3" i="2"/>
  <c r="M3" i="2"/>
  <c r="J27" i="2" l="1"/>
  <c r="K18" i="2"/>
  <c r="K27" i="2" s="1"/>
  <c r="C42" i="2"/>
  <c r="C43" i="2" s="1"/>
  <c r="C40" i="2"/>
  <c r="C41" i="2" s="1"/>
</calcChain>
</file>

<file path=xl/sharedStrings.xml><?xml version="1.0" encoding="utf-8"?>
<sst xmlns="http://schemas.openxmlformats.org/spreadsheetml/2006/main" count="114" uniqueCount="74">
  <si>
    <t>Foam Density</t>
  </si>
  <si>
    <t>pcf</t>
  </si>
  <si>
    <t>W/C ratio</t>
  </si>
  <si>
    <t>Unit Conversion</t>
  </si>
  <si>
    <t>Cup Volume</t>
  </si>
  <si>
    <t>ml</t>
  </si>
  <si>
    <t>g</t>
  </si>
  <si>
    <t>Cement</t>
  </si>
  <si>
    <t>Concrete Density</t>
  </si>
  <si>
    <t>g/ml</t>
  </si>
  <si>
    <t>Mix Mass</t>
  </si>
  <si>
    <t>Water</t>
  </si>
  <si>
    <t>Target PLDCC Density</t>
  </si>
  <si>
    <t>Mix ratio (Volume)</t>
  </si>
  <si>
    <t>Used mass</t>
  </si>
  <si>
    <t>Slurry</t>
  </si>
  <si>
    <t>Foam</t>
  </si>
  <si>
    <t>Concrete</t>
  </si>
  <si>
    <t>5000/40</t>
  </si>
  <si>
    <t>Trial 1</t>
  </si>
  <si>
    <t>ft3</t>
  </si>
  <si>
    <t>Foam density</t>
  </si>
  <si>
    <t>in3</t>
  </si>
  <si>
    <t>Result</t>
  </si>
  <si>
    <t>Cylinder</t>
  </si>
  <si>
    <t>Sample</t>
  </si>
  <si>
    <t>Mass (g)</t>
  </si>
  <si>
    <t>Volume (in3)</t>
  </si>
  <si>
    <t>Volume (ml)</t>
  </si>
  <si>
    <t>Density (g/ml)</t>
  </si>
  <si>
    <t>Density (pcf)</t>
  </si>
  <si>
    <t>i</t>
  </si>
  <si>
    <t>q (in3/s)</t>
  </si>
  <si>
    <t>k (in/s)</t>
  </si>
  <si>
    <t>k (cm/s)</t>
  </si>
  <si>
    <t>NA</t>
  </si>
  <si>
    <t>cm</t>
  </si>
  <si>
    <t>q</t>
  </si>
  <si>
    <t>ml/s</t>
  </si>
  <si>
    <t>Average</t>
  </si>
  <si>
    <t>Plastic Cup</t>
  </si>
  <si>
    <t>Double Ring Lab</t>
  </si>
  <si>
    <t>Volume of Concrete</t>
  </si>
  <si>
    <t>Mass</t>
  </si>
  <si>
    <t>Mass of Cement</t>
  </si>
  <si>
    <t>lb</t>
  </si>
  <si>
    <t>Mass of Water</t>
  </si>
  <si>
    <t>L</t>
  </si>
  <si>
    <t>Material</t>
  </si>
  <si>
    <t>Open Cell (Cylinder Test)</t>
  </si>
  <si>
    <t>Sand (Double Ring Test)</t>
  </si>
  <si>
    <t>Closed Cell (Double Ring Test)</t>
  </si>
  <si>
    <t>Volume (L)</t>
  </si>
  <si>
    <t>1st</t>
  </si>
  <si>
    <t>2nd</t>
  </si>
  <si>
    <t>3rd</t>
  </si>
  <si>
    <t>Survey Test</t>
  </si>
  <si>
    <t>N</t>
  </si>
  <si>
    <t>E</t>
  </si>
  <si>
    <t>S</t>
  </si>
  <si>
    <t>W</t>
  </si>
  <si>
    <t>Tank</t>
  </si>
  <si>
    <t>Outer Ring</t>
  </si>
  <si>
    <t>Inner Ring</t>
  </si>
  <si>
    <t>Top of Ring</t>
  </si>
  <si>
    <t>Flow Test</t>
  </si>
  <si>
    <t>Trial 1 (s)</t>
  </si>
  <si>
    <t>Trial 2 (s)</t>
  </si>
  <si>
    <t>Q (L/s)</t>
  </si>
  <si>
    <t>Q (m^3/s)</t>
  </si>
  <si>
    <t>K (m/s)</t>
  </si>
  <si>
    <t>Average of K</t>
  </si>
  <si>
    <t>ef</t>
  </si>
  <si>
    <t>Hydraulic Conductivity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</si>
</sst>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0" fontId="0" fillId="2" borderId="2" xfId="0" applyFill="1" applyBorder="1"/>
    <xf numFmtId="0" fontId="0" fillId="2" borderId="7" xfId="0" applyFill="1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11" fontId="0" fillId="0" borderId="7" xfId="0" applyNumberFormat="1" applyBorder="1"/>
    <xf numFmtId="11" fontId="0" fillId="0" borderId="0" xfId="0" applyNumberFormat="1"/>
    <xf numFmtId="11" fontId="0" fillId="4" borderId="7" xfId="0" applyNumberFormat="1" applyFill="1" applyBorder="1"/>
    <xf numFmtId="0" fontId="0" fillId="3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8" xfId="0" applyBorder="1" applyAlignment="1">
      <alignment horizontal="center"/>
    </xf>
    <xf numFmtId="1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1" fontId="0" fillId="0" borderId="6" xfId="0" applyNumberForma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Hydraulic Conductivity (logarithmic)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E+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Summary!$B$8:$B$10</c:f>
              <c:strCache>
                <c:ptCount val="3"/>
                <c:pt idx="0">
                  <c:v>Open Cell (Cylinder Test)</c:v>
                </c:pt>
                <c:pt idx="1">
                  <c:v>Sand (Double Ring Test)</c:v>
                </c:pt>
                <c:pt idx="2">
                  <c:v>Closed Cell (Double Ring Test)</c:v>
                </c:pt>
              </c:strCache>
            </c:strRef>
          </c:cat>
          <c:val>
            <c:numRef>
              <c:f>Summary!$C$8:$C$10</c:f>
              <c:numCache>
                <c:formatCode>General</c:formatCode>
                <c:ptCount val="3"/>
                <c:pt idx="0">
                  <c:v>1160</c:v>
                </c:pt>
                <c:pt idx="1">
                  <c:v>66.5</c:v>
                </c:pt>
                <c:pt idx="2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1-4FB2-8F6F-F34864A2B0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1627263"/>
        <c:axId val="1471624383"/>
      </c:barChart>
      <c:catAx>
        <c:axId val="147162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624383"/>
        <c:crosses val="autoZero"/>
        <c:auto val="1"/>
        <c:lblAlgn val="ctr"/>
        <c:lblOffset val="100"/>
        <c:noMultiLvlLbl val="0"/>
      </c:catAx>
      <c:valAx>
        <c:axId val="147162438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Hydraulic Conductivity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627263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Hydraulic Conductivity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Summary!$B$3:$B$5</c:f>
              <c:strCache>
                <c:ptCount val="3"/>
                <c:pt idx="0">
                  <c:v>Open Cell (Cylinder Test)</c:v>
                </c:pt>
                <c:pt idx="1">
                  <c:v>Sand (Double Ring Test)</c:v>
                </c:pt>
                <c:pt idx="2">
                  <c:v>Closed Cell (Double Ring Test)</c:v>
                </c:pt>
              </c:strCache>
            </c:strRef>
          </c:cat>
          <c:val>
            <c:numRef>
              <c:f>Summary!$C$3:$C$5</c:f>
              <c:numCache>
                <c:formatCode>0.00E+00</c:formatCode>
                <c:ptCount val="3"/>
                <c:pt idx="0">
                  <c:v>1.16E-3</c:v>
                </c:pt>
                <c:pt idx="1">
                  <c:v>6.6500000000000004E-5</c:v>
                </c:pt>
                <c:pt idx="2">
                  <c:v>2.43E-6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4-4FE3-9E30-83252196E3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1067087"/>
        <c:axId val="1561067567"/>
      </c:barChart>
      <c:catAx>
        <c:axId val="156106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067567"/>
        <c:crosses val="autoZero"/>
        <c:auto val="1"/>
        <c:lblAlgn val="ctr"/>
        <c:lblOffset val="100"/>
        <c:noMultiLvlLbl val="0"/>
      </c:catAx>
      <c:valAx>
        <c:axId val="156106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Hydraulic Conductivity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067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4</xdr:row>
      <xdr:rowOff>57150</xdr:rowOff>
    </xdr:from>
    <xdr:to>
      <xdr:col>11</xdr:col>
      <xdr:colOff>200025</xdr:colOff>
      <xdr:row>8</xdr:row>
      <xdr:rowOff>123825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F145A94-A69C-40D7-B57A-9E7DEBB461E8}"/>
            </a:ext>
          </a:extLst>
        </xdr:cNvPr>
        <xdr:cNvSpPr/>
      </xdr:nvSpPr>
      <xdr:spPr>
        <a:xfrm>
          <a:off x="6572250" y="819150"/>
          <a:ext cx="857250" cy="8286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180975</xdr:colOff>
      <xdr:row>2</xdr:row>
      <xdr:rowOff>57150</xdr:rowOff>
    </xdr:from>
    <xdr:to>
      <xdr:col>11</xdr:col>
      <xdr:colOff>561975</xdr:colOff>
      <xdr:row>10</xdr:row>
      <xdr:rowOff>123826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4CA829A-EBF4-4087-9F9B-02AE0C389D94}"/>
            </a:ext>
          </a:extLst>
        </xdr:cNvPr>
        <xdr:cNvSpPr/>
      </xdr:nvSpPr>
      <xdr:spPr>
        <a:xfrm>
          <a:off x="6191250" y="438150"/>
          <a:ext cx="1600200" cy="1590676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657225</xdr:colOff>
      <xdr:row>12</xdr:row>
      <xdr:rowOff>123825</xdr:rowOff>
    </xdr:from>
    <xdr:to>
      <xdr:col>12</xdr:col>
      <xdr:colOff>476250</xdr:colOff>
      <xdr:row>12</xdr:row>
      <xdr:rowOff>133350</xdr:rowOff>
    </xdr:to>
    <xdr:cxnSp macro="">
      <xdr:nvCxnSpPr>
        <xdr:cNvPr id="4" name="Straight Connector 4">
          <a:extLst>
            <a:ext uri="{FF2B5EF4-FFF2-40B4-BE49-F238E27FC236}">
              <a16:creationId xmlns:a16="http://schemas.microsoft.com/office/drawing/2014/main" id="{46BC4A0A-F8C5-45A2-979F-DD6AB8898470}"/>
            </a:ext>
          </a:extLst>
        </xdr:cNvPr>
        <xdr:cNvCxnSpPr/>
      </xdr:nvCxnSpPr>
      <xdr:spPr>
        <a:xfrm>
          <a:off x="5857875" y="2409825"/>
          <a:ext cx="2457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47626</xdr:colOff>
      <xdr:row>13</xdr:row>
      <xdr:rowOff>19050</xdr:rowOff>
    </xdr:from>
    <xdr:to>
      <xdr:col>11</xdr:col>
      <xdr:colOff>152400</xdr:colOff>
      <xdr:row>15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380ADF-02C6-4936-9DD9-8BAC86EC45E9}"/>
            </a:ext>
          </a:extLst>
        </xdr:cNvPr>
        <xdr:cNvSpPr txBox="1"/>
      </xdr:nvSpPr>
      <xdr:spPr>
        <a:xfrm>
          <a:off x="6667501" y="2495550"/>
          <a:ext cx="714374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Door</a:t>
          </a:r>
        </a:p>
      </xdr:txBody>
    </xdr:sp>
    <xdr:clientData/>
  </xdr:twoCellAnchor>
  <xdr:twoCellAnchor>
    <xdr:from>
      <xdr:col>10</xdr:col>
      <xdr:colOff>200026</xdr:colOff>
      <xdr:row>0</xdr:row>
      <xdr:rowOff>38101</xdr:rowOff>
    </xdr:from>
    <xdr:to>
      <xdr:col>10</xdr:col>
      <xdr:colOff>523876</xdr:colOff>
      <xdr:row>2</xdr:row>
      <xdr:rowOff>19051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DAB1394-688F-41A7-816C-D3EDF85FF7FD}"/>
            </a:ext>
          </a:extLst>
        </xdr:cNvPr>
        <xdr:cNvSpPr txBox="1"/>
      </xdr:nvSpPr>
      <xdr:spPr>
        <a:xfrm>
          <a:off x="6819901" y="38101"/>
          <a:ext cx="3238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100011</xdr:colOff>
      <xdr:row>1</xdr:row>
      <xdr:rowOff>42862</xdr:rowOff>
    </xdr:from>
    <xdr:to>
      <xdr:col>17</xdr:col>
      <xdr:colOff>200025</xdr:colOff>
      <xdr:row>19</xdr:row>
      <xdr:rowOff>104775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7363CD2-C441-1C7B-7A09-6CD4DFE65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128587</xdr:colOff>
      <xdr:row>21</xdr:row>
      <xdr:rowOff>147637</xdr:rowOff>
    </xdr:from>
    <xdr:to>
      <xdr:col>16</xdr:col>
      <xdr:colOff>161925</xdr:colOff>
      <xdr:row>40</xdr:row>
      <xdr:rowOff>104775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93376A-E4F3-14EE-1371-9EBC1D183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A4C8-AD75-4B6A-A937-23E387368C10}">
  <dimension ref="B2:U43"/>
  <sheetViews>
    <sheetView workbookViewId="0">
      <selection activeCell="I18" sqref="I18"/>
    </sheetView>
  </sheetViews>
  <sheetFormatPr defaultRowHeight="15" x14ac:dyDescent="0.25"/>
  <cols>
    <col min="2" max="2" width="19.85546875" customWidth="1"/>
    <col min="3" max="3" width="16" customWidth="1"/>
    <col min="4" max="4" width="12.5703125" customWidth="1"/>
    <col min="5" max="5" width="14.140625" customWidth="1"/>
    <col min="6" max="6" width="13.85546875" customWidth="1"/>
    <col min="7" max="7" width="12.140625" customWidth="1"/>
    <col min="10" max="10" width="11" customWidth="1"/>
    <col min="12" max="12" width="12.42578125" customWidth="1"/>
  </cols>
  <sheetData>
    <row r="2" spans="2:21" x14ac:dyDescent="0.25">
      <c r="B2" s="1" t="s">
        <v>0</v>
      </c>
      <c r="C2" s="2">
        <v>2.5</v>
      </c>
      <c r="D2" s="3" t="s">
        <v>1</v>
      </c>
      <c r="F2" s="4" t="s">
        <v>2</v>
      </c>
      <c r="G2" s="5">
        <v>0.55000000000000004</v>
      </c>
      <c r="I2" s="6" t="s">
        <v>3</v>
      </c>
      <c r="J2" s="7"/>
      <c r="L2" t="s">
        <v>4</v>
      </c>
      <c r="M2">
        <v>207</v>
      </c>
      <c r="N2" t="s">
        <v>5</v>
      </c>
      <c r="Q2">
        <v>344</v>
      </c>
      <c r="R2" t="s">
        <v>6</v>
      </c>
      <c r="S2" t="s">
        <v>7</v>
      </c>
      <c r="T2">
        <v>4000</v>
      </c>
      <c r="U2" t="s">
        <v>6</v>
      </c>
    </row>
    <row r="3" spans="2:21" x14ac:dyDescent="0.25">
      <c r="B3" s="8" t="s">
        <v>8</v>
      </c>
      <c r="C3" s="9">
        <v>108</v>
      </c>
      <c r="D3" s="10" t="s">
        <v>1</v>
      </c>
      <c r="I3" s="1" t="s">
        <v>9</v>
      </c>
      <c r="J3" s="11" t="s">
        <v>1</v>
      </c>
      <c r="L3" t="s">
        <v>10</v>
      </c>
      <c r="M3">
        <f>J6*M2</f>
        <v>3.3158219490113083</v>
      </c>
      <c r="N3" t="s">
        <v>6</v>
      </c>
      <c r="Q3">
        <f>Q2/M2</f>
        <v>1.6618357487922706</v>
      </c>
      <c r="S3" t="s">
        <v>11</v>
      </c>
      <c r="T3">
        <f>T2*0.55</f>
        <v>2200</v>
      </c>
      <c r="U3" t="s">
        <v>6</v>
      </c>
    </row>
    <row r="4" spans="2:21" x14ac:dyDescent="0.25">
      <c r="B4" s="12" t="s">
        <v>12</v>
      </c>
      <c r="C4" s="13">
        <v>30</v>
      </c>
      <c r="D4" s="14" t="s">
        <v>1</v>
      </c>
      <c r="F4" s="4" t="s">
        <v>13</v>
      </c>
      <c r="G4" s="5"/>
      <c r="I4" s="13">
        <v>1</v>
      </c>
      <c r="J4" s="14">
        <f>62.42796*I4</f>
        <v>62.427959999999999</v>
      </c>
      <c r="L4" t="s">
        <v>14</v>
      </c>
      <c r="M4">
        <v>101.57</v>
      </c>
      <c r="S4" t="s">
        <v>15</v>
      </c>
      <c r="T4">
        <f>T2+T3</f>
        <v>6200</v>
      </c>
      <c r="U4" t="s">
        <v>6</v>
      </c>
    </row>
    <row r="5" spans="2:21" x14ac:dyDescent="0.25">
      <c r="F5" s="13" t="s">
        <v>16</v>
      </c>
      <c r="G5" s="13" t="s">
        <v>17</v>
      </c>
      <c r="I5" s="1" t="s">
        <v>1</v>
      </c>
      <c r="J5" s="11" t="s">
        <v>9</v>
      </c>
    </row>
    <row r="6" spans="2:21" x14ac:dyDescent="0.25">
      <c r="F6" s="9">
        <v>2.84</v>
      </c>
      <c r="G6" s="10">
        <v>1</v>
      </c>
      <c r="I6" s="13">
        <v>1</v>
      </c>
      <c r="J6" s="14">
        <f>I6/62.42796</f>
        <v>1.6018463521793761E-2</v>
      </c>
      <c r="Q6" t="s">
        <v>18</v>
      </c>
    </row>
    <row r="7" spans="2:21" x14ac:dyDescent="0.25">
      <c r="B7" t="s">
        <v>19</v>
      </c>
      <c r="I7" s="12" t="s">
        <v>5</v>
      </c>
      <c r="J7" s="12" t="s">
        <v>20</v>
      </c>
      <c r="Q7">
        <f>5000/40</f>
        <v>125</v>
      </c>
    </row>
    <row r="8" spans="2:21" x14ac:dyDescent="0.25">
      <c r="B8" s="12" t="s">
        <v>21</v>
      </c>
      <c r="C8" s="13"/>
      <c r="D8" s="13" t="s">
        <v>1</v>
      </c>
      <c r="I8" s="13">
        <v>1</v>
      </c>
      <c r="J8" s="13">
        <f>I8/28316.8</f>
        <v>3.5314724827664145E-5</v>
      </c>
      <c r="Q8">
        <f>125*50</f>
        <v>6250</v>
      </c>
    </row>
    <row r="9" spans="2:21" x14ac:dyDescent="0.25">
      <c r="I9" s="12" t="s">
        <v>20</v>
      </c>
      <c r="J9" s="12" t="s">
        <v>5</v>
      </c>
    </row>
    <row r="10" spans="2:21" x14ac:dyDescent="0.25">
      <c r="B10" t="s">
        <v>13</v>
      </c>
      <c r="I10" s="13">
        <v>1</v>
      </c>
      <c r="J10" s="13">
        <f>28316.8*I10</f>
        <v>28316.799999999999</v>
      </c>
      <c r="M10">
        <v>3000</v>
      </c>
      <c r="P10">
        <f>30*J6</f>
        <v>0.48055390565381284</v>
      </c>
    </row>
    <row r="11" spans="2:21" x14ac:dyDescent="0.25">
      <c r="B11" s="1" t="s">
        <v>16</v>
      </c>
      <c r="C11" s="2">
        <v>3900</v>
      </c>
      <c r="D11" s="3" t="s">
        <v>5</v>
      </c>
      <c r="I11" s="12" t="s">
        <v>22</v>
      </c>
      <c r="J11" s="5" t="s">
        <v>5</v>
      </c>
      <c r="M11">
        <f>3000/40</f>
        <v>75</v>
      </c>
      <c r="P11">
        <f>P10*M2</f>
        <v>99.474658470339264</v>
      </c>
    </row>
    <row r="12" spans="2:21" x14ac:dyDescent="0.25">
      <c r="B12" s="8" t="s">
        <v>17</v>
      </c>
      <c r="C12" s="9">
        <v>1375</v>
      </c>
      <c r="D12" s="10" t="s">
        <v>5</v>
      </c>
      <c r="I12" s="9">
        <v>1</v>
      </c>
      <c r="J12" s="10">
        <v>16.3871</v>
      </c>
      <c r="M12">
        <f>2000/40</f>
        <v>50</v>
      </c>
    </row>
    <row r="14" spans="2:21" x14ac:dyDescent="0.25">
      <c r="B14" t="s">
        <v>23</v>
      </c>
      <c r="R14" t="s">
        <v>24</v>
      </c>
      <c r="S14">
        <v>113.72</v>
      </c>
      <c r="T14" t="s">
        <v>6</v>
      </c>
    </row>
    <row r="15" spans="2:21" x14ac:dyDescent="0.25">
      <c r="B15" s="12" t="s">
        <v>25</v>
      </c>
      <c r="C15" s="12" t="s">
        <v>26</v>
      </c>
      <c r="D15" s="12" t="s">
        <v>27</v>
      </c>
      <c r="E15" s="12" t="s">
        <v>28</v>
      </c>
      <c r="F15" s="12" t="s">
        <v>29</v>
      </c>
      <c r="G15" s="12" t="s">
        <v>30</v>
      </c>
      <c r="H15" s="12" t="s">
        <v>31</v>
      </c>
      <c r="I15" s="12" t="s">
        <v>32</v>
      </c>
      <c r="J15" s="12" t="s">
        <v>33</v>
      </c>
      <c r="K15" s="12" t="s">
        <v>34</v>
      </c>
      <c r="L15" s="15"/>
      <c r="S15">
        <f>213.49*1.15</f>
        <v>245.51349999999999</v>
      </c>
      <c r="T15" t="s">
        <v>6</v>
      </c>
    </row>
    <row r="16" spans="2:21" x14ac:dyDescent="0.25">
      <c r="B16" s="13">
        <v>1</v>
      </c>
      <c r="C16" s="13">
        <v>948.88</v>
      </c>
      <c r="D16" s="13">
        <v>91.1</v>
      </c>
      <c r="E16" s="13">
        <f>D16*J12</f>
        <v>1492.86481</v>
      </c>
      <c r="F16" s="13">
        <f>C16/E16</f>
        <v>0.63561013270853373</v>
      </c>
      <c r="G16" s="13">
        <f>F16*$J$4</f>
        <v>39.679843940323032</v>
      </c>
      <c r="H16" s="13" t="s">
        <v>35</v>
      </c>
      <c r="I16" s="13" t="s">
        <v>35</v>
      </c>
      <c r="J16" s="13" t="s">
        <v>35</v>
      </c>
      <c r="K16" s="16" t="s">
        <v>35</v>
      </c>
      <c r="L16" s="17"/>
    </row>
    <row r="17" spans="2:19" x14ac:dyDescent="0.25">
      <c r="B17" s="13">
        <v>2</v>
      </c>
      <c r="C17" s="13">
        <v>931.78</v>
      </c>
      <c r="D17" s="13">
        <v>87.96</v>
      </c>
      <c r="E17" s="13">
        <f>D17*$J$12</f>
        <v>1441.409316</v>
      </c>
      <c r="F17" s="13">
        <f>C17/E17</f>
        <v>0.64643678215272471</v>
      </c>
      <c r="G17" s="13">
        <f>F17*$J$4</f>
        <v>40.355729578759011</v>
      </c>
      <c r="H17" s="13" t="s">
        <v>35</v>
      </c>
      <c r="I17" s="13" t="s">
        <v>35</v>
      </c>
      <c r="J17" s="13" t="s">
        <v>35</v>
      </c>
      <c r="K17" s="16" t="s">
        <v>35</v>
      </c>
      <c r="L17" s="17"/>
      <c r="S17">
        <v>231.98</v>
      </c>
    </row>
    <row r="18" spans="2:19" x14ac:dyDescent="0.25">
      <c r="B18" s="13">
        <v>3</v>
      </c>
      <c r="C18" s="13">
        <v>821.88</v>
      </c>
      <c r="D18" s="13">
        <f>4*PI()*8</f>
        <v>100.53096491487338</v>
      </c>
      <c r="E18" s="13">
        <f t="shared" ref="E18:E21" si="0">D18*$J$12</f>
        <v>1647.4109751565215</v>
      </c>
      <c r="F18" s="13">
        <f t="shared" ref="F18:F21" si="1">C18/E18</f>
        <v>0.4988919051737607</v>
      </c>
      <c r="G18" s="13">
        <f t="shared" ref="G18:G21" si="2">F18*$J$4</f>
        <v>31.144803900511324</v>
      </c>
      <c r="H18" s="13">
        <v>1.23</v>
      </c>
      <c r="I18" s="13">
        <f>5590/314/J12</f>
        <v>1.0863757327837529</v>
      </c>
      <c r="J18" s="13">
        <f>I18/(H18*9*PI())</f>
        <v>3.1237952651782166E-2</v>
      </c>
      <c r="K18" s="16">
        <f t="shared" ref="K18:K22" si="3">J18*2.54</f>
        <v>7.9344399735526705E-2</v>
      </c>
      <c r="L18" s="17"/>
      <c r="O18">
        <v>29.7</v>
      </c>
      <c r="P18" t="s">
        <v>36</v>
      </c>
    </row>
    <row r="19" spans="2:19" x14ac:dyDescent="0.25">
      <c r="B19" s="13">
        <v>4</v>
      </c>
      <c r="C19" s="13">
        <v>845.15</v>
      </c>
      <c r="D19" s="13">
        <f>4*PI()*8</f>
        <v>100.53096491487338</v>
      </c>
      <c r="E19" s="13">
        <f t="shared" si="0"/>
        <v>1647.4109751565215</v>
      </c>
      <c r="F19" s="13">
        <f t="shared" si="1"/>
        <v>0.51301709940332385</v>
      </c>
      <c r="G19" s="13">
        <f t="shared" si="2"/>
        <v>32.026610960866726</v>
      </c>
      <c r="H19" s="13">
        <v>1.2</v>
      </c>
      <c r="I19" s="13">
        <f>5020/306/J12</f>
        <v>1.0011062822689758</v>
      </c>
      <c r="J19" s="13">
        <f t="shared" ref="J19:J22" si="4">I19/(H19*9*PI())</f>
        <v>2.9505743219158845E-2</v>
      </c>
      <c r="K19" s="16">
        <f t="shared" si="3"/>
        <v>7.4944587776663463E-2</v>
      </c>
      <c r="L19" s="17"/>
      <c r="O19">
        <v>19.399999999999999</v>
      </c>
    </row>
    <row r="20" spans="2:19" x14ac:dyDescent="0.25">
      <c r="B20" s="13">
        <v>5</v>
      </c>
      <c r="C20" s="13">
        <f>765.19-113.72</f>
        <v>651.47</v>
      </c>
      <c r="D20" s="13">
        <f>4*PI()*8</f>
        <v>100.53096491487338</v>
      </c>
      <c r="E20" s="13">
        <f t="shared" si="0"/>
        <v>1647.4109751565215</v>
      </c>
      <c r="F20" s="13">
        <f t="shared" si="1"/>
        <v>0.39545080725111925</v>
      </c>
      <c r="G20" s="13">
        <f t="shared" si="2"/>
        <v>24.687187177040581</v>
      </c>
      <c r="H20" s="13">
        <v>1.1499999999999999</v>
      </c>
      <c r="I20" s="13">
        <f>10500/300/J12</f>
        <v>2.1358263512152851</v>
      </c>
      <c r="J20" s="13">
        <f t="shared" si="4"/>
        <v>6.5686438914365056E-2</v>
      </c>
      <c r="K20" s="16">
        <f t="shared" si="3"/>
        <v>0.16684355484248725</v>
      </c>
      <c r="L20" s="17"/>
      <c r="O20">
        <f>O18-O19</f>
        <v>10.3</v>
      </c>
    </row>
    <row r="21" spans="2:19" x14ac:dyDescent="0.25">
      <c r="B21" s="13">
        <v>6</v>
      </c>
      <c r="C21" s="13">
        <f>765.77-113.72</f>
        <v>652.04999999999995</v>
      </c>
      <c r="D21" s="13">
        <f>4*PI()*8</f>
        <v>100.53096491487338</v>
      </c>
      <c r="E21" s="13">
        <f t="shared" si="0"/>
        <v>1647.4109751565215</v>
      </c>
      <c r="F21" s="13">
        <f t="shared" si="1"/>
        <v>0.39580287483397897</v>
      </c>
      <c r="G21" s="13">
        <f t="shared" si="2"/>
        <v>24.709166038020644</v>
      </c>
      <c r="H21" s="13">
        <v>1.1000000000000001</v>
      </c>
      <c r="I21" s="13">
        <f>10640/307/J12</f>
        <v>2.1149550839395657</v>
      </c>
      <c r="J21" s="13">
        <f t="shared" si="4"/>
        <v>6.8001122429558844E-2</v>
      </c>
      <c r="K21" s="16">
        <f t="shared" si="3"/>
        <v>0.17272285097107948</v>
      </c>
      <c r="L21" s="17"/>
    </row>
    <row r="22" spans="2:19" x14ac:dyDescent="0.25">
      <c r="B22" s="13">
        <v>7</v>
      </c>
      <c r="C22" s="13">
        <f>2566.42-S15</f>
        <v>2320.9065000000001</v>
      </c>
      <c r="D22" s="13">
        <f>9*PI()*12</f>
        <v>339.29200658769764</v>
      </c>
      <c r="E22" s="13">
        <f>D22*$J$12</f>
        <v>5560.0120411532598</v>
      </c>
      <c r="F22" s="13">
        <f>C22/E22</f>
        <v>0.417428322604603</v>
      </c>
      <c r="G22" s="13">
        <f>F22*$J$4</f>
        <v>26.05919862642725</v>
      </c>
      <c r="H22" s="13">
        <v>1.05</v>
      </c>
      <c r="I22" s="13">
        <f>9980/305/J12</f>
        <v>1.9967725513000978</v>
      </c>
      <c r="J22" s="13">
        <f t="shared" si="4"/>
        <v>6.7258459633783213E-2</v>
      </c>
      <c r="K22" s="16">
        <f t="shared" si="3"/>
        <v>0.17083648746980937</v>
      </c>
      <c r="L22" s="17"/>
    </row>
    <row r="23" spans="2:19" x14ac:dyDescent="0.25">
      <c r="B23" s="13">
        <v>8</v>
      </c>
      <c r="C23" s="13">
        <f>1275.98-S17</f>
        <v>1044</v>
      </c>
      <c r="D23" s="13">
        <f>9*PI()*4.41</f>
        <v>124.6898124209789</v>
      </c>
      <c r="E23" s="13">
        <f>D23*$J$12</f>
        <v>2043.3044251238232</v>
      </c>
      <c r="F23" s="13">
        <f>C23/E23</f>
        <v>0.51093708170124197</v>
      </c>
      <c r="G23" s="13">
        <f>F23*$J$4</f>
        <v>31.896759698961866</v>
      </c>
      <c r="H23" s="13">
        <v>1.18</v>
      </c>
      <c r="I23" s="13">
        <f>5380/186/J12</f>
        <v>1.7650915160581004</v>
      </c>
      <c r="J23" s="13">
        <f>I23/(H23*9*PI())</f>
        <v>5.2904527267460311E-2</v>
      </c>
      <c r="K23" s="16">
        <f>J23*2.54</f>
        <v>0.13437749925934919</v>
      </c>
      <c r="L23" s="17"/>
      <c r="O23" t="s">
        <v>37</v>
      </c>
      <c r="P23">
        <f>1200/302/J12</f>
        <v>0.24247792066777124</v>
      </c>
      <c r="Q23" t="s">
        <v>38</v>
      </c>
    </row>
    <row r="24" spans="2:19" x14ac:dyDescent="0.25">
      <c r="B24" s="13">
        <v>9</v>
      </c>
      <c r="C24" s="13">
        <f>1286.87-S17</f>
        <v>1054.8899999999999</v>
      </c>
      <c r="D24" s="13">
        <f>9*PI()*3.78</f>
        <v>106.87698207512476</v>
      </c>
      <c r="E24" s="13">
        <f t="shared" ref="E24:E26" si="5">D24*$J$12</f>
        <v>1751.4037929632771</v>
      </c>
      <c r="F24" s="13">
        <f t="shared" ref="F24:F26" si="6">C24/E24</f>
        <v>0.60231113135548553</v>
      </c>
      <c r="G24" s="13">
        <f t="shared" ref="G24:G26" si="7">F24*$J$4</f>
        <v>37.601055215814995</v>
      </c>
      <c r="H24" s="13">
        <v>1.51</v>
      </c>
      <c r="I24" s="13">
        <f>1200/302/J12</f>
        <v>0.24247792066777124</v>
      </c>
      <c r="J24" s="13">
        <f t="shared" ref="J24:J26" si="8">I24/(H24*9*PI())</f>
        <v>5.6794053958675863E-3</v>
      </c>
      <c r="K24" s="16">
        <f t="shared" ref="K24:K26" si="9">J24*2.54</f>
        <v>1.442568970550367E-2</v>
      </c>
      <c r="L24" s="17"/>
    </row>
    <row r="25" spans="2:19" x14ac:dyDescent="0.25">
      <c r="B25" s="13">
        <v>10</v>
      </c>
      <c r="C25" s="13">
        <f>1343.66-S17</f>
        <v>1111.68</v>
      </c>
      <c r="D25" s="13">
        <f>9*PI()*5.12</f>
        <v>144.76458947741767</v>
      </c>
      <c r="E25" s="13">
        <f t="shared" si="5"/>
        <v>2372.271804225391</v>
      </c>
      <c r="F25" s="13">
        <f t="shared" si="6"/>
        <v>0.4686140930478212</v>
      </c>
      <c r="G25" s="13">
        <f t="shared" si="7"/>
        <v>29.254621856225658</v>
      </c>
      <c r="H25" s="13">
        <v>1.02</v>
      </c>
      <c r="I25">
        <f>9600/306/J12</f>
        <v>1.9144661971677626</v>
      </c>
      <c r="J25" s="13">
        <f t="shared" si="8"/>
        <v>6.638273609185022E-2</v>
      </c>
      <c r="K25" s="16">
        <f t="shared" si="9"/>
        <v>0.16861214967329957</v>
      </c>
      <c r="L25" s="17"/>
      <c r="P25">
        <f>4340/312/J12</f>
        <v>0.8488540626624852</v>
      </c>
    </row>
    <row r="26" spans="2:19" x14ac:dyDescent="0.25">
      <c r="B26" s="13">
        <v>11</v>
      </c>
      <c r="C26" s="13">
        <f>1206.2-S17</f>
        <v>974.22</v>
      </c>
      <c r="D26" s="13">
        <f>9*PI()*4.055</f>
        <v>114.65242389275949</v>
      </c>
      <c r="E26" s="13">
        <f t="shared" si="5"/>
        <v>1878.820735573039</v>
      </c>
      <c r="F26" s="13">
        <f t="shared" si="6"/>
        <v>0.51852738345623151</v>
      </c>
      <c r="G26" s="13">
        <f t="shared" si="7"/>
        <v>32.370606753310284</v>
      </c>
      <c r="H26" s="13">
        <f>12.5/(30-19.7)</f>
        <v>1.2135922330097086</v>
      </c>
      <c r="I26" s="13">
        <f>4340/312/J12</f>
        <v>0.8488540626624852</v>
      </c>
      <c r="J26" s="13">
        <f t="shared" si="8"/>
        <v>2.4738186602215675E-2</v>
      </c>
      <c r="K26" s="16">
        <f t="shared" si="9"/>
        <v>6.2834993969627814E-2</v>
      </c>
      <c r="L26" s="17"/>
    </row>
    <row r="27" spans="2:19" x14ac:dyDescent="0.25">
      <c r="I27" s="13" t="s">
        <v>39</v>
      </c>
      <c r="J27" s="13">
        <f>AVERAGE(J18:J26)</f>
        <v>4.5710508022893552E-2</v>
      </c>
      <c r="K27" s="18">
        <f>AVERAGE(K18:K26)</f>
        <v>0.11610469037814959</v>
      </c>
      <c r="L27" s="17"/>
    </row>
    <row r="29" spans="2:19" x14ac:dyDescent="0.25">
      <c r="P29">
        <f>5380/186/J12</f>
        <v>1.7650915160581004</v>
      </c>
    </row>
    <row r="30" spans="2:19" x14ac:dyDescent="0.25">
      <c r="B30" t="s">
        <v>40</v>
      </c>
      <c r="C30">
        <v>106.10630236836187</v>
      </c>
      <c r="D30">
        <v>0</v>
      </c>
      <c r="E30" s="13">
        <v>207</v>
      </c>
      <c r="F30" s="13">
        <f>C30/E30</f>
        <v>0.51259083269740036</v>
      </c>
      <c r="G30" s="13">
        <f>F30*$J$4</f>
        <v>32</v>
      </c>
    </row>
    <row r="35" spans="2:4" x14ac:dyDescent="0.25">
      <c r="B35" t="s">
        <v>41</v>
      </c>
    </row>
    <row r="37" spans="2:4" x14ac:dyDescent="0.25">
      <c r="B37" t="s">
        <v>42</v>
      </c>
      <c r="C37">
        <f>4*PI()*1</f>
        <v>12.566370614359172</v>
      </c>
      <c r="D37" t="s">
        <v>20</v>
      </c>
    </row>
    <row r="38" spans="2:4" x14ac:dyDescent="0.25">
      <c r="C38">
        <f>C37*J10</f>
        <v>355839.40341268579</v>
      </c>
      <c r="D38" t="s">
        <v>5</v>
      </c>
    </row>
    <row r="39" spans="2:4" x14ac:dyDescent="0.25">
      <c r="B39" t="s">
        <v>43</v>
      </c>
      <c r="C39">
        <f>C38*0.45</f>
        <v>160127.73153570862</v>
      </c>
      <c r="D39" t="s">
        <v>6</v>
      </c>
    </row>
    <row r="40" spans="2:4" x14ac:dyDescent="0.25">
      <c r="B40" t="s">
        <v>44</v>
      </c>
      <c r="C40">
        <f>C39*2/3</f>
        <v>106751.82102380575</v>
      </c>
      <c r="D40" t="s">
        <v>6</v>
      </c>
    </row>
    <row r="41" spans="2:4" x14ac:dyDescent="0.25">
      <c r="C41" s="19">
        <f>C40*0.00220462</f>
        <v>235.34719966550264</v>
      </c>
      <c r="D41" t="s">
        <v>45</v>
      </c>
    </row>
    <row r="42" spans="2:4" x14ac:dyDescent="0.25">
      <c r="B42" t="s">
        <v>46</v>
      </c>
      <c r="C42">
        <f>C39*1/3</f>
        <v>53375.910511902875</v>
      </c>
      <c r="D42" t="s">
        <v>6</v>
      </c>
    </row>
    <row r="43" spans="2:4" x14ac:dyDescent="0.25">
      <c r="C43" s="19">
        <f>C42*0.001</f>
        <v>53.375910511902873</v>
      </c>
      <c r="D43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B306-5CC7-4393-A91D-E843BB604E62}">
  <dimension ref="C4:L24"/>
  <sheetViews>
    <sheetView workbookViewId="0">
      <selection activeCell="G19" sqref="G19"/>
    </sheetView>
  </sheetViews>
  <sheetFormatPr defaultRowHeight="15" x14ac:dyDescent="0.25"/>
  <cols>
    <col min="3" max="3" width="11.7109375" customWidth="1"/>
    <col min="4" max="4" width="11.42578125" customWidth="1"/>
    <col min="9" max="9" width="12.140625" bestFit="1" customWidth="1"/>
  </cols>
  <sheetData>
    <row r="4" spans="3:7" x14ac:dyDescent="0.25">
      <c r="C4" s="26" t="s">
        <v>39</v>
      </c>
      <c r="D4" s="14" t="s">
        <v>52</v>
      </c>
    </row>
    <row r="5" spans="3:7" x14ac:dyDescent="0.25">
      <c r="C5" s="15" t="s">
        <v>53</v>
      </c>
      <c r="D5" s="27">
        <v>5.5974000000000004</v>
      </c>
    </row>
    <row r="6" spans="3:7" x14ac:dyDescent="0.25">
      <c r="C6" s="15" t="s">
        <v>54</v>
      </c>
      <c r="D6" s="27">
        <v>5.6234000000000002</v>
      </c>
    </row>
    <row r="7" spans="3:7" x14ac:dyDescent="0.25">
      <c r="C7" s="28" t="s">
        <v>55</v>
      </c>
      <c r="D7" s="10">
        <v>5.6096000000000004</v>
      </c>
    </row>
    <row r="10" spans="3:7" x14ac:dyDescent="0.25">
      <c r="C10" s="13" t="s">
        <v>56</v>
      </c>
      <c r="D10" s="29" t="s">
        <v>57</v>
      </c>
      <c r="E10" s="29" t="s">
        <v>58</v>
      </c>
      <c r="F10" s="29" t="s">
        <v>59</v>
      </c>
      <c r="G10" s="14" t="s">
        <v>60</v>
      </c>
    </row>
    <row r="11" spans="3:7" x14ac:dyDescent="0.25">
      <c r="C11" s="30" t="s">
        <v>61</v>
      </c>
      <c r="D11">
        <v>-0.873</v>
      </c>
      <c r="E11">
        <v>-0.872</v>
      </c>
      <c r="F11">
        <v>-0.88400000000000001</v>
      </c>
      <c r="G11" s="27">
        <v>-0.876</v>
      </c>
    </row>
    <row r="12" spans="3:7" x14ac:dyDescent="0.25">
      <c r="C12" s="30" t="s">
        <v>62</v>
      </c>
      <c r="D12">
        <v>0.47399999999999998</v>
      </c>
      <c r="E12">
        <v>0.439</v>
      </c>
      <c r="F12">
        <v>0.45300000000000001</v>
      </c>
      <c r="G12" s="27">
        <v>0.46400000000000002</v>
      </c>
    </row>
    <row r="13" spans="3:7" x14ac:dyDescent="0.25">
      <c r="C13" s="30" t="s">
        <v>63</v>
      </c>
      <c r="D13">
        <v>0.503</v>
      </c>
      <c r="E13">
        <v>0.505</v>
      </c>
      <c r="F13">
        <v>0.5</v>
      </c>
      <c r="G13" s="27">
        <v>0.497</v>
      </c>
    </row>
    <row r="14" spans="3:7" x14ac:dyDescent="0.25">
      <c r="C14" s="9" t="s">
        <v>64</v>
      </c>
      <c r="D14" s="31">
        <v>1.76</v>
      </c>
      <c r="E14" s="31">
        <v>1.76</v>
      </c>
      <c r="F14" s="31">
        <v>1.746</v>
      </c>
      <c r="G14" s="10">
        <v>1.748</v>
      </c>
    </row>
    <row r="18" spans="3:12" x14ac:dyDescent="0.25">
      <c r="C18" s="13" t="s">
        <v>65</v>
      </c>
      <c r="D18" s="29" t="s">
        <v>66</v>
      </c>
      <c r="E18" s="14" t="s">
        <v>67</v>
      </c>
      <c r="G18" s="26" t="s">
        <v>68</v>
      </c>
      <c r="H18" s="14"/>
      <c r="I18" s="26" t="s">
        <v>69</v>
      </c>
      <c r="J18" s="14"/>
      <c r="K18" s="26" t="s">
        <v>70</v>
      </c>
      <c r="L18" s="14"/>
    </row>
    <row r="19" spans="3:12" x14ac:dyDescent="0.25">
      <c r="C19" s="30" t="s">
        <v>53</v>
      </c>
      <c r="D19">
        <f>15*60+57.51</f>
        <v>957.51</v>
      </c>
      <c r="E19" s="27">
        <f>15*60+54.78</f>
        <v>954.78</v>
      </c>
      <c r="G19" s="15">
        <f t="shared" ref="G19:H21" si="0">$D5/D19</f>
        <v>5.8457875113575846E-3</v>
      </c>
      <c r="H19" s="27">
        <f t="shared" si="0"/>
        <v>5.8625023565638161E-3</v>
      </c>
      <c r="I19" s="15">
        <f>G19/1000</f>
        <v>5.8457875113575844E-6</v>
      </c>
      <c r="J19" s="27">
        <f>H19/1000</f>
        <v>5.8625023565638163E-6</v>
      </c>
      <c r="K19" s="15">
        <v>7.0724893857653269E-5</v>
      </c>
      <c r="L19" s="27">
        <v>7.092711736488152E-5</v>
      </c>
    </row>
    <row r="20" spans="3:12" x14ac:dyDescent="0.25">
      <c r="C20" s="30" t="s">
        <v>54</v>
      </c>
      <c r="D20">
        <f>19*60+50.97</f>
        <v>1190.97</v>
      </c>
      <c r="E20" s="27">
        <f>17*60+15.3</f>
        <v>1035.3</v>
      </c>
      <c r="G20" s="15">
        <f t="shared" si="0"/>
        <v>4.7216974399019286E-3</v>
      </c>
      <c r="H20" s="27">
        <f t="shared" si="0"/>
        <v>5.4316623201004543E-3</v>
      </c>
      <c r="I20" s="15">
        <f t="shared" ref="I20:J21" si="1">G20/1000</f>
        <v>4.7216974399019289E-6</v>
      </c>
      <c r="J20" s="27">
        <f t="shared" si="1"/>
        <v>5.4316623201004544E-6</v>
      </c>
      <c r="K20" s="15">
        <v>5.7125160573526365E-5</v>
      </c>
      <c r="L20" s="27">
        <v>6.5714626183958948E-5</v>
      </c>
    </row>
    <row r="21" spans="3:12" x14ac:dyDescent="0.25">
      <c r="C21" s="9" t="s">
        <v>55</v>
      </c>
      <c r="D21" s="31">
        <f>16*60+7.67</f>
        <v>967.67</v>
      </c>
      <c r="E21" s="10">
        <f>17*60+30</f>
        <v>1050</v>
      </c>
      <c r="G21" s="28">
        <f t="shared" si="0"/>
        <v>5.797017578306655E-3</v>
      </c>
      <c r="H21" s="10">
        <f t="shared" si="0"/>
        <v>5.3424761904761909E-3</v>
      </c>
      <c r="I21" s="28">
        <f t="shared" si="1"/>
        <v>5.7970175783066553E-6</v>
      </c>
      <c r="J21" s="10">
        <f t="shared" si="1"/>
        <v>5.3424761904761912E-6</v>
      </c>
      <c r="K21" s="28">
        <v>7.0134853878989938E-5</v>
      </c>
      <c r="L21" s="10">
        <v>6.4635613383887797E-5</v>
      </c>
    </row>
    <row r="23" spans="3:12" x14ac:dyDescent="0.25">
      <c r="K23" s="32" t="s">
        <v>71</v>
      </c>
      <c r="L23" s="33"/>
    </row>
    <row r="24" spans="3:12" x14ac:dyDescent="0.25">
      <c r="K24" s="34">
        <f>AVERAGE(K19:L21)</f>
        <v>6.6543710873816304E-5</v>
      </c>
      <c r="L24" s="35"/>
    </row>
  </sheetData>
  <mergeCells count="2">
    <mergeCell ref="K23:L23"/>
    <mergeCell ref="K24:L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69807-5012-4335-92DA-915C6B371F3B}">
  <dimension ref="B2:D10"/>
  <sheetViews>
    <sheetView tabSelected="1" workbookViewId="0">
      <selection activeCell="B3" sqref="B3:C5"/>
    </sheetView>
  </sheetViews>
  <sheetFormatPr defaultRowHeight="15" x14ac:dyDescent="0.25"/>
  <cols>
    <col min="2" max="2" width="27.42578125" customWidth="1"/>
    <col min="3" max="3" width="27.28515625" customWidth="1"/>
  </cols>
  <sheetData>
    <row r="2" spans="2:4" x14ac:dyDescent="0.25">
      <c r="B2" s="20" t="s">
        <v>48</v>
      </c>
      <c r="C2" s="21" t="s">
        <v>73</v>
      </c>
    </row>
    <row r="3" spans="2:4" x14ac:dyDescent="0.25">
      <c r="B3" s="22" t="s">
        <v>49</v>
      </c>
      <c r="C3" s="23">
        <f>1.16*10^-3</f>
        <v>1.16E-3</v>
      </c>
      <c r="D3">
        <f>LOG(C3)</f>
        <v>-2.9355420107730814</v>
      </c>
    </row>
    <row r="4" spans="2:4" x14ac:dyDescent="0.25">
      <c r="B4" s="22" t="s">
        <v>50</v>
      </c>
      <c r="C4" s="23">
        <f>6.65*10^-5</f>
        <v>6.6500000000000004E-5</v>
      </c>
      <c r="D4">
        <f t="shared" ref="D4:D5" si="0">LOG(C4)</f>
        <v>-4.1771783546968955</v>
      </c>
    </row>
    <row r="5" spans="2:4" x14ac:dyDescent="0.25">
      <c r="B5" s="24" t="s">
        <v>51</v>
      </c>
      <c r="C5" s="25">
        <f>2.43*10^-6</f>
        <v>2.43E-6</v>
      </c>
      <c r="D5">
        <f t="shared" si="0"/>
        <v>-5.6143937264016879</v>
      </c>
    </row>
    <row r="6" spans="2:4" x14ac:dyDescent="0.25">
      <c r="B6" s="36" t="s">
        <v>72</v>
      </c>
      <c r="C6">
        <v>2</v>
      </c>
    </row>
    <row r="8" spans="2:4" x14ac:dyDescent="0.25">
      <c r="B8" s="22" t="s">
        <v>49</v>
      </c>
      <c r="C8">
        <f>1.16*10^3</f>
        <v>1160</v>
      </c>
    </row>
    <row r="9" spans="2:4" x14ac:dyDescent="0.25">
      <c r="B9" s="22" t="s">
        <v>50</v>
      </c>
      <c r="C9">
        <f>6.65*10^1</f>
        <v>66.5</v>
      </c>
    </row>
    <row r="10" spans="2:4" x14ac:dyDescent="0.25">
      <c r="B10" s="24" t="s">
        <v>51</v>
      </c>
      <c r="C10">
        <v>2.4300000000000002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Open Cell (Cylinder Test)</vt:lpstr>
      <vt:lpstr>Sand (Double Ring Test)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Ha Kim</dc:creator>
  <cp:lastModifiedBy>Junha Kim</cp:lastModifiedBy>
  <dcterms:created xsi:type="dcterms:W3CDTF">2025-03-25T19:50:17Z</dcterms:created>
  <dcterms:modified xsi:type="dcterms:W3CDTF">2025-04-03T15:20:09Z</dcterms:modified>
</cp:coreProperties>
</file>