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artl\Documents\My Papers\Thesis -  Junha Kim\"/>
    </mc:Choice>
  </mc:AlternateContent>
  <xr:revisionPtr revIDLastSave="0" documentId="13_ncr:1_{39854EA0-A342-4D6C-A9FF-6CE110C67089}" xr6:coauthVersionLast="47" xr6:coauthVersionMax="47" xr10:uidLastSave="{00000000-0000-0000-0000-000000000000}"/>
  <bookViews>
    <workbookView xWindow="-110" yWindow="-110" windowWidth="25820" windowHeight="15500" activeTab="2" xr2:uid="{6D89343C-8090-46CB-9308-2B571D9AE04B}"/>
  </bookViews>
  <sheets>
    <sheet name="Mission Rock" sheetId="1" r:id="rId1"/>
    <sheet name="U of U" sheetId="2" r:id="rId2"/>
    <sheet name="Infiltration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9" i="3" l="1"/>
  <c r="U17" i="3"/>
  <c r="X15" i="3"/>
  <c r="X14" i="3"/>
  <c r="X13" i="3"/>
  <c r="W15" i="3"/>
  <c r="W14" i="3"/>
  <c r="W13" i="3"/>
  <c r="V15" i="3"/>
  <c r="V14" i="3"/>
  <c r="V13" i="3"/>
  <c r="U15" i="3"/>
  <c r="U14" i="3"/>
  <c r="U13" i="3"/>
  <c r="U9" i="3"/>
  <c r="U8" i="3"/>
  <c r="U7" i="3"/>
  <c r="X5" i="3"/>
  <c r="X4" i="3"/>
  <c r="X3" i="3"/>
  <c r="W5" i="3"/>
  <c r="W4" i="3"/>
  <c r="W3" i="3"/>
  <c r="V5" i="3"/>
  <c r="V4" i="3"/>
  <c r="V3" i="3"/>
  <c r="U80" i="3"/>
  <c r="U79" i="3"/>
  <c r="U78" i="3"/>
  <c r="U57" i="3"/>
  <c r="U56" i="3"/>
  <c r="U55" i="3"/>
  <c r="U31" i="3"/>
  <c r="U30" i="3"/>
  <c r="U29" i="3"/>
  <c r="U5" i="3"/>
  <c r="U4" i="3"/>
  <c r="U3" i="3"/>
  <c r="F98" i="2"/>
  <c r="F97" i="2"/>
  <c r="B96" i="2"/>
  <c r="D96" i="2"/>
  <c r="D98" i="2" s="1"/>
  <c r="C96" i="2"/>
  <c r="F94" i="2"/>
  <c r="D95" i="2"/>
  <c r="D97" i="2" s="1"/>
  <c r="C95" i="2"/>
  <c r="B95" i="2"/>
  <c r="B97" i="2" s="1"/>
  <c r="B98" i="2"/>
  <c r="E94" i="2"/>
  <c r="F93" i="2"/>
  <c r="E93" i="2"/>
  <c r="F92" i="2"/>
  <c r="E92" i="2"/>
  <c r="F91" i="2"/>
  <c r="E91" i="2"/>
  <c r="F90" i="2"/>
  <c r="E90" i="2"/>
  <c r="F89" i="2"/>
  <c r="E89" i="2"/>
  <c r="F88" i="2"/>
  <c r="E88" i="2"/>
  <c r="F87" i="2"/>
  <c r="E87" i="2"/>
  <c r="F86" i="2"/>
  <c r="E86" i="2"/>
  <c r="F85" i="2"/>
  <c r="E85" i="2"/>
  <c r="F84" i="2"/>
  <c r="E84" i="2"/>
  <c r="F83" i="2"/>
  <c r="E83" i="2"/>
  <c r="F82" i="2"/>
  <c r="E82" i="2"/>
  <c r="F81" i="2"/>
  <c r="E81" i="2"/>
  <c r="F80" i="2"/>
  <c r="E80" i="2"/>
  <c r="F79" i="2"/>
  <c r="E79" i="2"/>
  <c r="E97" i="2" s="1"/>
  <c r="U18" i="3" l="1"/>
  <c r="E95" i="2"/>
  <c r="F95" i="2"/>
  <c r="E96" i="2"/>
  <c r="F96" i="2"/>
  <c r="B109" i="2"/>
  <c r="C109" i="2"/>
  <c r="B111" i="2"/>
  <c r="C110" i="2"/>
  <c r="B110" i="2"/>
  <c r="B112" i="2" s="1"/>
  <c r="B75" i="2" l="1"/>
  <c r="B77" i="2" s="1"/>
  <c r="D75" i="2"/>
  <c r="D77" i="2" s="1"/>
  <c r="C75" i="2"/>
  <c r="D74" i="2"/>
  <c r="D76" i="2" s="1"/>
  <c r="C74" i="2"/>
  <c r="B74" i="2"/>
  <c r="B76" i="2" s="1"/>
  <c r="F73" i="2"/>
  <c r="E73" i="2"/>
  <c r="F72" i="2"/>
  <c r="E72" i="2"/>
  <c r="F71" i="2"/>
  <c r="E71" i="2"/>
  <c r="F70" i="2"/>
  <c r="E70" i="2"/>
  <c r="F69" i="2"/>
  <c r="E69" i="2"/>
  <c r="F68" i="2"/>
  <c r="E68" i="2"/>
  <c r="F67" i="2"/>
  <c r="E67" i="2"/>
  <c r="F66" i="2"/>
  <c r="E66" i="2"/>
  <c r="E75" i="2" l="1"/>
  <c r="F75" i="2"/>
  <c r="E74" i="2"/>
  <c r="F74" i="2"/>
  <c r="D49" i="2"/>
  <c r="C49" i="2"/>
  <c r="B49" i="2"/>
  <c r="D23" i="2"/>
  <c r="C23" i="2"/>
  <c r="B23" i="2"/>
  <c r="D62" i="2"/>
  <c r="C62" i="2"/>
  <c r="F60" i="2"/>
  <c r="F59" i="2"/>
  <c r="F58" i="2"/>
  <c r="F57" i="2"/>
  <c r="F56" i="2"/>
  <c r="F55" i="2"/>
  <c r="F54" i="2"/>
  <c r="F53" i="2"/>
  <c r="E60" i="2"/>
  <c r="E59" i="2"/>
  <c r="E58" i="2"/>
  <c r="E57" i="2"/>
  <c r="E56" i="2"/>
  <c r="E55" i="2"/>
  <c r="E54" i="2"/>
  <c r="E53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D46" i="2"/>
  <c r="D48" i="2" s="1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19" i="2"/>
  <c r="D21" i="2" s="1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B62" i="2"/>
  <c r="D61" i="2"/>
  <c r="C61" i="2"/>
  <c r="B61" i="2"/>
  <c r="E49" i="2" l="1"/>
  <c r="E62" i="2"/>
  <c r="E23" i="2"/>
  <c r="E19" i="2"/>
  <c r="F46" i="2"/>
  <c r="F49" i="2"/>
  <c r="F62" i="2"/>
  <c r="E20" i="2"/>
  <c r="F23" i="2"/>
  <c r="F20" i="2"/>
  <c r="F61" i="2"/>
  <c r="E61" i="2"/>
  <c r="E46" i="2"/>
  <c r="F45" i="2"/>
  <c r="F19" i="2"/>
  <c r="D20" i="2"/>
  <c r="D22" i="2" s="1"/>
  <c r="D45" i="2"/>
  <c r="D47" i="2" s="1"/>
  <c r="B46" i="2"/>
  <c r="B48" i="2" s="1"/>
  <c r="B45" i="2"/>
  <c r="B47" i="2" s="1"/>
  <c r="B20" i="2"/>
  <c r="B22" i="2" s="1"/>
  <c r="B19" i="2"/>
  <c r="B21" i="2" s="1"/>
  <c r="E45" i="2"/>
  <c r="C46" i="2"/>
  <c r="C45" i="2"/>
  <c r="C20" i="2"/>
  <c r="C19" i="2"/>
  <c r="C15" i="1"/>
  <c r="B15" i="1"/>
  <c r="A15" i="1"/>
  <c r="C13" i="1"/>
  <c r="B13" i="1"/>
  <c r="A13" i="1"/>
</calcChain>
</file>

<file path=xl/sharedStrings.xml><?xml version="1.0" encoding="utf-8"?>
<sst xmlns="http://schemas.openxmlformats.org/spreadsheetml/2006/main" count="166" uniqueCount="86">
  <si>
    <t>1.10+01</t>
  </si>
  <si>
    <t>5.70+02</t>
  </si>
  <si>
    <t>5.20+01</t>
  </si>
  <si>
    <t>4.30+01</t>
  </si>
  <si>
    <t>1.20+01</t>
  </si>
  <si>
    <t>7.30+02</t>
  </si>
  <si>
    <t>2.90+02</t>
  </si>
  <si>
    <t>k cm/s)</t>
  </si>
  <si>
    <t>avg.</t>
  </si>
  <si>
    <t>Cast Unit Weight (pcf)</t>
  </si>
  <si>
    <t>PVC 3x6 mold</t>
  </si>
  <si>
    <t>Natural Saturation (pcf)</t>
  </si>
  <si>
    <t>st. dev.</t>
  </si>
  <si>
    <t>TY-5</t>
  </si>
  <si>
    <t>TY-6</t>
  </si>
  <si>
    <t>TY-7</t>
  </si>
  <si>
    <t>TY-8</t>
  </si>
  <si>
    <t>TY-9</t>
  </si>
  <si>
    <t>TY-10</t>
  </si>
  <si>
    <t>TY-11</t>
  </si>
  <si>
    <t>TY-12</t>
  </si>
  <si>
    <t>TY-13</t>
  </si>
  <si>
    <t>TY-14</t>
  </si>
  <si>
    <t>TY-16</t>
  </si>
  <si>
    <t>TY-17</t>
  </si>
  <si>
    <t>TY-18</t>
  </si>
  <si>
    <t>TY-19</t>
  </si>
  <si>
    <t>avg</t>
  </si>
  <si>
    <t>std. dev.</t>
  </si>
  <si>
    <t>TY-20</t>
  </si>
  <si>
    <t>TY-21</t>
  </si>
  <si>
    <t>TY-22</t>
  </si>
  <si>
    <t>TY-23</t>
  </si>
  <si>
    <t>TY-24</t>
  </si>
  <si>
    <t>TY-25</t>
  </si>
  <si>
    <t>TY-26</t>
  </si>
  <si>
    <t>TY-27</t>
  </si>
  <si>
    <t>TY-28</t>
  </si>
  <si>
    <t>TY-29</t>
  </si>
  <si>
    <t>TY-30</t>
  </si>
  <si>
    <t>TY-31</t>
  </si>
  <si>
    <t>TY-32</t>
  </si>
  <si>
    <t>TY-33</t>
  </si>
  <si>
    <t>TY-34</t>
  </si>
  <si>
    <t>TY-35</t>
  </si>
  <si>
    <t>TY-36</t>
  </si>
  <si>
    <t>TY-37</t>
  </si>
  <si>
    <t>TY-38</t>
  </si>
  <si>
    <t>Sample ID</t>
  </si>
  <si>
    <t>Dry UW (PCF)</t>
  </si>
  <si>
    <t>Hydraulic Conductivity (cm/s)</t>
  </si>
  <si>
    <t>Buoyant UW (PCF)</t>
  </si>
  <si>
    <t>A1</t>
  </si>
  <si>
    <t>A2</t>
  </si>
  <si>
    <t>A3</t>
  </si>
  <si>
    <t>A4</t>
  </si>
  <si>
    <t>A5</t>
  </si>
  <si>
    <t>A6</t>
  </si>
  <si>
    <t>A7</t>
  </si>
  <si>
    <t>A8</t>
  </si>
  <si>
    <t>Vol.water/ Vol.PLDCC (%)</t>
  </si>
  <si>
    <t>Batch 1 - LCC (Aerix)</t>
  </si>
  <si>
    <t>Batch 2 - LCC (Aerix)</t>
  </si>
  <si>
    <t>Batch 3 - PLCC (Aerix)</t>
  </si>
  <si>
    <t>Total UW (PCF)</t>
  </si>
  <si>
    <t>max</t>
  </si>
  <si>
    <t>SI Units</t>
  </si>
  <si>
    <t>Batchs 4 &amp;  5 - PLCC (U of U )</t>
  </si>
  <si>
    <t>Y5</t>
  </si>
  <si>
    <t>Y7</t>
  </si>
  <si>
    <t>Y8</t>
  </si>
  <si>
    <t>Y10</t>
  </si>
  <si>
    <t>Y14</t>
  </si>
  <si>
    <t>Y16</t>
  </si>
  <si>
    <t>Y17</t>
  </si>
  <si>
    <t>Y18</t>
  </si>
  <si>
    <t>6x12"Cylinders</t>
  </si>
  <si>
    <t>-</t>
  </si>
  <si>
    <t xml:space="preserve">Batch 3  &amp; 4 Combined </t>
  </si>
  <si>
    <t>blue</t>
  </si>
  <si>
    <t>orange</t>
  </si>
  <si>
    <t>gray</t>
  </si>
  <si>
    <t>time (min)</t>
  </si>
  <si>
    <t>avg blue</t>
  </si>
  <si>
    <t>avg orange</t>
  </si>
  <si>
    <t>avg gray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</si>
</sst>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E+00"/>
    <numFmt numFmtId="166" formatCode="0.000"/>
  </numFmts>
  <fonts count="5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</font>
    <font>
      <b/>
      <sz val="8"/>
      <color indexed="8"/>
      <name val="Calibri"/>
      <family val="2"/>
    </font>
    <font>
      <b/>
      <sz val="8"/>
      <color indexed="8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EBEBE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</borders>
  <cellStyleXfs count="1">
    <xf numFmtId="0" fontId="0" fillId="0" borderId="0"/>
  </cellStyleXfs>
  <cellXfs count="42">
    <xf numFmtId="0" fontId="0" fillId="0" borderId="0" xfId="0"/>
    <xf numFmtId="11" fontId="0" fillId="0" borderId="0" xfId="0" applyNumberFormat="1"/>
    <xf numFmtId="11" fontId="0" fillId="0" borderId="0" xfId="0" applyNumberFormat="1" applyAlignment="1">
      <alignment horizontal="left" vertical="center"/>
    </xf>
    <xf numFmtId="11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2" fontId="0" fillId="0" borderId="0" xfId="0" applyNumberFormat="1"/>
    <xf numFmtId="0" fontId="2" fillId="2" borderId="1" xfId="0" applyFont="1" applyFill="1" applyBorder="1" applyAlignment="1">
      <alignment horizontal="left" vertical="top" wrapText="1" indent="1"/>
    </xf>
    <xf numFmtId="164" fontId="1" fillId="2" borderId="1" xfId="0" applyNumberFormat="1" applyFont="1" applyFill="1" applyBorder="1" applyAlignment="1">
      <alignment horizontal="center" vertical="top" shrinkToFit="1"/>
    </xf>
    <xf numFmtId="165" fontId="1" fillId="2" borderId="1" xfId="0" applyNumberFormat="1" applyFont="1" applyFill="1" applyBorder="1" applyAlignment="1">
      <alignment horizontal="center" vertical="top" shrinkToFit="1"/>
    </xf>
    <xf numFmtId="0" fontId="2" fillId="0" borderId="0" xfId="0" applyFont="1" applyAlignment="1">
      <alignment horizontal="left" vertical="top" wrapText="1" indent="1"/>
    </xf>
    <xf numFmtId="164" fontId="1" fillId="0" borderId="0" xfId="0" applyNumberFormat="1" applyFont="1" applyAlignment="1">
      <alignment horizontal="center" vertical="top" shrinkToFit="1"/>
    </xf>
    <xf numFmtId="165" fontId="1" fillId="0" borderId="0" xfId="0" applyNumberFormat="1" applyFont="1" applyAlignment="1">
      <alignment horizontal="center" vertical="top" shrinkToFit="1"/>
    </xf>
    <xf numFmtId="0" fontId="2" fillId="2" borderId="0" xfId="0" applyFont="1" applyFill="1" applyAlignment="1">
      <alignment horizontal="left" vertical="top" wrapText="1" indent="1"/>
    </xf>
    <xf numFmtId="164" fontId="1" fillId="2" borderId="0" xfId="0" applyNumberFormat="1" applyFont="1" applyFill="1" applyAlignment="1">
      <alignment horizontal="center" vertical="top" shrinkToFit="1"/>
    </xf>
    <xf numFmtId="165" fontId="1" fillId="2" borderId="0" xfId="0" applyNumberFormat="1" applyFont="1" applyFill="1" applyAlignment="1">
      <alignment horizontal="center" vertical="top" shrinkToFit="1"/>
    </xf>
    <xf numFmtId="0" fontId="2" fillId="0" borderId="2" xfId="0" applyFont="1" applyBorder="1" applyAlignment="1">
      <alignment horizontal="left" vertical="top" wrapText="1" indent="1"/>
    </xf>
    <xf numFmtId="164" fontId="1" fillId="0" borderId="2" xfId="0" applyNumberFormat="1" applyFont="1" applyBorder="1" applyAlignment="1">
      <alignment horizontal="center" vertical="top" shrinkToFit="1"/>
    </xf>
    <xf numFmtId="165" fontId="1" fillId="0" borderId="2" xfId="0" applyNumberFormat="1" applyFont="1" applyBorder="1" applyAlignment="1">
      <alignment horizontal="center" vertical="top" shrinkToFit="1"/>
    </xf>
    <xf numFmtId="0" fontId="2" fillId="2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shrinkToFit="1"/>
    </xf>
    <xf numFmtId="165" fontId="1" fillId="2" borderId="2" xfId="0" applyNumberFormat="1" applyFont="1" applyFill="1" applyBorder="1" applyAlignment="1">
      <alignment horizontal="center" vertical="top" shrinkToFi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 indent="2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 indent="1"/>
    </xf>
    <xf numFmtId="0" fontId="3" fillId="2" borderId="0" xfId="0" applyFont="1" applyFill="1" applyAlignment="1">
      <alignment horizontal="left" vertical="top" wrapText="1" indent="1"/>
    </xf>
    <xf numFmtId="164" fontId="4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top" wrapText="1" indent="1"/>
    </xf>
    <xf numFmtId="11" fontId="4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64" fontId="1" fillId="0" borderId="3" xfId="0" applyNumberFormat="1" applyFont="1" applyBorder="1" applyAlignment="1">
      <alignment horizontal="center" vertical="top" shrinkToFit="1"/>
    </xf>
    <xf numFmtId="0" fontId="0" fillId="0" borderId="0" xfId="0" applyAlignment="1">
      <alignment horizontal="center"/>
    </xf>
    <xf numFmtId="0" fontId="3" fillId="0" borderId="0" xfId="0" applyFont="1" applyAlignment="1">
      <alignment horizontal="center" vertical="top" wrapText="1"/>
    </xf>
    <xf numFmtId="165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164" fontId="0" fillId="0" borderId="0" xfId="0" applyNumberFormat="1"/>
    <xf numFmtId="165" fontId="0" fillId="0" borderId="0" xfId="0" applyNumberFormat="1"/>
    <xf numFmtId="166" fontId="4" fillId="0" borderId="0" xfId="0" applyNumberFormat="1" applyFont="1" applyAlignment="1">
      <alignment horizontal="left" indent="2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224790</xdr:colOff>
      <xdr:row>18</xdr:row>
      <xdr:rowOff>111702</xdr:rowOff>
    </xdr:from>
    <xdr:to>
      <xdr:col>11</xdr:col>
      <xdr:colOff>500657</xdr:colOff>
      <xdr:row>39</xdr:row>
      <xdr:rowOff>116379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1F3067-D50E-4DC5-82E0-26DCEC0CE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790" y="3403542"/>
          <a:ext cx="9271277" cy="3845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139700</xdr:rowOff>
    </xdr:from>
    <xdr:to>
      <xdr:col>18</xdr:col>
      <xdr:colOff>273623</xdr:colOff>
      <xdr:row>23</xdr:row>
      <xdr:rowOff>120867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DFE54-8E12-A3F9-D0E6-3C2FD946B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39700"/>
          <a:ext cx="11151173" cy="42166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18</xdr:col>
      <xdr:colOff>133921</xdr:colOff>
      <xdr:row>50</xdr:row>
      <xdr:rowOff>31969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2AE447-C1EE-BD61-3A15-33DC1BD48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972050"/>
          <a:ext cx="11106721" cy="4267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18</xdr:col>
      <xdr:colOff>57717</xdr:colOff>
      <xdr:row>74</xdr:row>
      <xdr:rowOff>31960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DCAC02-45AB-C466-7F29-D48B07DC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9575800"/>
          <a:ext cx="11030517" cy="4083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18</xdr:col>
      <xdr:colOff>159322</xdr:colOff>
      <xdr:row>98</xdr:row>
      <xdr:rowOff>127215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E64143A-A5E2-9B17-3611-0A7958B48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995400"/>
          <a:ext cx="11132122" cy="4178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06186-C47C-465F-A681-8720DAE171C7}">
  <dimension ref="A1:C16"/>
  <sheetViews>
    <sheetView topLeftCell="A37" workbookViewId="0">
      <selection activeCell="O37" sqref="O37"/>
    </sheetView>
  </sheetViews>
  <sheetFormatPr defaultRowHeight="14.5" x14ac:dyDescent="0.35"/>
  <cols>
    <col min="1" max="1" width="13.90625" style="1" customWidth="1"/>
    <col min="2" max="2" width="19.08984375" customWidth="1"/>
    <col min="3" max="3" width="20.54296875" customWidth="1"/>
  </cols>
  <sheetData>
    <row r="1" spans="1:3" x14ac:dyDescent="0.35">
      <c r="A1" s="1" t="s">
        <v>7</v>
      </c>
      <c r="B1" t="s">
        <v>9</v>
      </c>
      <c r="C1" t="s">
        <v>11</v>
      </c>
    </row>
    <row r="2" spans="1:3" x14ac:dyDescent="0.35">
      <c r="A2" s="2" t="s">
        <v>0</v>
      </c>
      <c r="B2">
        <v>26</v>
      </c>
      <c r="C2">
        <v>53.5</v>
      </c>
    </row>
    <row r="3" spans="1:3" x14ac:dyDescent="0.35">
      <c r="A3" s="2" t="s">
        <v>1</v>
      </c>
      <c r="B3">
        <v>26</v>
      </c>
      <c r="C3">
        <v>53.1</v>
      </c>
    </row>
    <row r="4" spans="1:3" x14ac:dyDescent="0.35">
      <c r="A4" s="2" t="s">
        <v>2</v>
      </c>
      <c r="B4">
        <v>25.5</v>
      </c>
      <c r="C4">
        <v>58.1</v>
      </c>
    </row>
    <row r="5" spans="1:3" x14ac:dyDescent="0.35">
      <c r="A5" s="2" t="s">
        <v>3</v>
      </c>
      <c r="B5">
        <v>25.5</v>
      </c>
      <c r="C5">
        <v>58.7</v>
      </c>
    </row>
    <row r="6" spans="1:3" x14ac:dyDescent="0.35">
      <c r="A6" s="2">
        <v>5.3999999999999999E-2</v>
      </c>
      <c r="B6">
        <v>29</v>
      </c>
      <c r="C6">
        <v>55.7</v>
      </c>
    </row>
    <row r="7" spans="1:3" x14ac:dyDescent="0.35">
      <c r="A7" s="2" t="s">
        <v>4</v>
      </c>
      <c r="B7">
        <v>29</v>
      </c>
      <c r="C7">
        <v>56.8</v>
      </c>
    </row>
    <row r="8" spans="1:3" x14ac:dyDescent="0.35">
      <c r="A8" s="2">
        <v>0.1</v>
      </c>
      <c r="B8">
        <v>27.5</v>
      </c>
      <c r="C8">
        <v>57.1</v>
      </c>
    </row>
    <row r="9" spans="1:3" x14ac:dyDescent="0.35">
      <c r="A9" s="2" t="s">
        <v>5</v>
      </c>
      <c r="B9">
        <v>27.5</v>
      </c>
      <c r="C9">
        <v>55.8</v>
      </c>
    </row>
    <row r="10" spans="1:3" x14ac:dyDescent="0.35">
      <c r="A10" s="2" t="s">
        <v>6</v>
      </c>
      <c r="B10">
        <v>29</v>
      </c>
      <c r="C10">
        <v>52.8</v>
      </c>
    </row>
    <row r="11" spans="1:3" x14ac:dyDescent="0.35">
      <c r="A11" s="2">
        <v>6.1999999999999998E-3</v>
      </c>
      <c r="B11">
        <v>28</v>
      </c>
      <c r="C11">
        <v>52.5</v>
      </c>
    </row>
    <row r="12" spans="1:3" x14ac:dyDescent="0.35">
      <c r="A12" s="3" t="s">
        <v>8</v>
      </c>
      <c r="B12" s="3" t="s">
        <v>8</v>
      </c>
      <c r="C12" s="3" t="s">
        <v>8</v>
      </c>
    </row>
    <row r="13" spans="1:3" x14ac:dyDescent="0.35">
      <c r="A13" s="3">
        <f>AVERAGE(A2:A11)</f>
        <v>5.3400000000000003E-2</v>
      </c>
      <c r="B13" s="4">
        <f>AVERAGE(B2:B11)</f>
        <v>27.3</v>
      </c>
      <c r="C13" s="4">
        <f>AVERAGE(C2:C11)</f>
        <v>55.410000000000004</v>
      </c>
    </row>
    <row r="14" spans="1:3" x14ac:dyDescent="0.35">
      <c r="A14" s="3" t="s">
        <v>12</v>
      </c>
    </row>
    <row r="15" spans="1:3" x14ac:dyDescent="0.35">
      <c r="A15" s="1">
        <f>STDEV(A2:A11)</f>
        <v>4.6902878376492006E-2</v>
      </c>
      <c r="B15" s="5">
        <f>STDEV(B2:B11)</f>
        <v>1.4567848922274771</v>
      </c>
      <c r="C15" s="5">
        <f>STDEV(C2:C11)</f>
        <v>2.2936869882353181</v>
      </c>
    </row>
    <row r="16" spans="1:3" x14ac:dyDescent="0.35">
      <c r="A16" s="1" t="s">
        <v>10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00F25A-0F3D-4A24-944C-F2A09AA0F939}">
  <dimension ref="A2:G112"/>
  <sheetViews>
    <sheetView workbookViewId="0">
      <pane ySplit="2" topLeftCell="A72" activePane="bottomLeft" state="frozen"/>
      <selection pane="bottomLeft" activeCell="L95" sqref="L95"/>
    </sheetView>
  </sheetViews>
  <sheetFormatPr defaultRowHeight="14.5" x14ac:dyDescent="0.35"/>
  <cols>
    <col min="2" max="2" width="13.26953125" bestFit="1" customWidth="1"/>
  </cols>
  <sheetData>
    <row r="2" spans="1:6" ht="31.5" x14ac:dyDescent="0.35">
      <c r="A2" s="24" t="s">
        <v>48</v>
      </c>
      <c r="B2" s="25" t="s">
        <v>49</v>
      </c>
      <c r="C2" s="26" t="s">
        <v>50</v>
      </c>
      <c r="D2" s="27" t="s">
        <v>64</v>
      </c>
      <c r="E2" s="26" t="s">
        <v>60</v>
      </c>
      <c r="F2" s="26" t="s">
        <v>51</v>
      </c>
    </row>
    <row r="4" spans="1:6" x14ac:dyDescent="0.35">
      <c r="A4" t="s">
        <v>61</v>
      </c>
    </row>
    <row r="5" spans="1:6" x14ac:dyDescent="0.35">
      <c r="A5" s="6" t="s">
        <v>13</v>
      </c>
      <c r="B5" s="7">
        <v>22.4</v>
      </c>
      <c r="C5" s="8">
        <v>3.0000000000000001E-3</v>
      </c>
      <c r="D5" s="7">
        <v>51</v>
      </c>
      <c r="E5" s="7">
        <f>(D5-B5)/62.4*100</f>
        <v>45.833333333333336</v>
      </c>
      <c r="F5" s="7">
        <f>62.4-D5</f>
        <v>11.399999999999999</v>
      </c>
    </row>
    <row r="6" spans="1:6" x14ac:dyDescent="0.35">
      <c r="A6" s="9" t="s">
        <v>14</v>
      </c>
      <c r="B6" s="10">
        <v>22.8</v>
      </c>
      <c r="C6" s="11">
        <v>8.6E-3</v>
      </c>
      <c r="D6" s="10">
        <v>51.2</v>
      </c>
      <c r="E6" s="10">
        <f>(D6-B6)/62.4*100</f>
        <v>45.512820512820518</v>
      </c>
      <c r="F6" s="10">
        <f>62.4-D6</f>
        <v>11.199999999999996</v>
      </c>
    </row>
    <row r="7" spans="1:6" x14ac:dyDescent="0.35">
      <c r="A7" s="12" t="s">
        <v>15</v>
      </c>
      <c r="B7" s="13">
        <v>22.9</v>
      </c>
      <c r="C7" s="14">
        <v>7.4999999999999997E-3</v>
      </c>
      <c r="D7" s="13">
        <v>49.3</v>
      </c>
      <c r="E7" s="13">
        <f t="shared" ref="E7:E18" si="0">(D7-B7)/62.4*100</f>
        <v>42.307692307692307</v>
      </c>
      <c r="F7" s="13">
        <f t="shared" ref="F7:F18" si="1">62.4-D7</f>
        <v>13.100000000000001</v>
      </c>
    </row>
    <row r="8" spans="1:6" x14ac:dyDescent="0.35">
      <c r="A8" s="9" t="s">
        <v>16</v>
      </c>
      <c r="B8" s="10">
        <v>21</v>
      </c>
      <c r="C8" s="11">
        <v>4.1000000000000003E-3</v>
      </c>
      <c r="D8" s="10">
        <v>50.1</v>
      </c>
      <c r="E8" s="10">
        <f t="shared" si="0"/>
        <v>46.634615384615387</v>
      </c>
      <c r="F8" s="10">
        <f t="shared" si="1"/>
        <v>12.299999999999997</v>
      </c>
    </row>
    <row r="9" spans="1:6" x14ac:dyDescent="0.35">
      <c r="A9" s="12" t="s">
        <v>17</v>
      </c>
      <c r="B9" s="13">
        <v>22.3</v>
      </c>
      <c r="C9" s="14">
        <v>3.5999999999999997E-2</v>
      </c>
      <c r="D9" s="13">
        <v>50.2</v>
      </c>
      <c r="E9" s="13">
        <f t="shared" si="0"/>
        <v>44.711538461538467</v>
      </c>
      <c r="F9" s="13">
        <f t="shared" si="1"/>
        <v>12.199999999999996</v>
      </c>
    </row>
    <row r="10" spans="1:6" x14ac:dyDescent="0.35">
      <c r="A10" s="9" t="s">
        <v>18</v>
      </c>
      <c r="B10" s="10">
        <v>22.7</v>
      </c>
      <c r="C10" s="11">
        <v>1.7000000000000001E-2</v>
      </c>
      <c r="D10" s="10">
        <v>45.8</v>
      </c>
      <c r="E10" s="10">
        <f t="shared" si="0"/>
        <v>37.019230769230766</v>
      </c>
      <c r="F10" s="10">
        <f t="shared" si="1"/>
        <v>16.600000000000001</v>
      </c>
    </row>
    <row r="11" spans="1:6" x14ac:dyDescent="0.35">
      <c r="A11" s="12" t="s">
        <v>19</v>
      </c>
      <c r="B11" s="13">
        <v>22.6</v>
      </c>
      <c r="C11" s="14">
        <v>1.4E-2</v>
      </c>
      <c r="D11" s="13">
        <v>47.5</v>
      </c>
      <c r="E11" s="13">
        <f t="shared" si="0"/>
        <v>39.903846153846153</v>
      </c>
      <c r="F11" s="13">
        <f t="shared" si="1"/>
        <v>14.899999999999999</v>
      </c>
    </row>
    <row r="12" spans="1:6" x14ac:dyDescent="0.35">
      <c r="A12" s="9" t="s">
        <v>20</v>
      </c>
      <c r="B12" s="10">
        <v>21</v>
      </c>
      <c r="C12" s="11">
        <v>1.2999999999999999E-2</v>
      </c>
      <c r="D12" s="10">
        <v>51.5</v>
      </c>
      <c r="E12" s="10">
        <f t="shared" si="0"/>
        <v>48.878205128205124</v>
      </c>
      <c r="F12" s="10">
        <f t="shared" si="1"/>
        <v>10.899999999999999</v>
      </c>
    </row>
    <row r="13" spans="1:6" x14ac:dyDescent="0.35">
      <c r="A13" s="12" t="s">
        <v>21</v>
      </c>
      <c r="B13" s="13">
        <v>22.1</v>
      </c>
      <c r="C13" s="14">
        <v>1.2999999999999999E-2</v>
      </c>
      <c r="D13" s="13">
        <v>49.7</v>
      </c>
      <c r="E13" s="13">
        <f t="shared" si="0"/>
        <v>44.230769230769234</v>
      </c>
      <c r="F13" s="13">
        <f t="shared" si="1"/>
        <v>12.699999999999996</v>
      </c>
    </row>
    <row r="14" spans="1:6" x14ac:dyDescent="0.35">
      <c r="A14" s="9" t="s">
        <v>22</v>
      </c>
      <c r="B14" s="10">
        <v>22.1</v>
      </c>
      <c r="C14" s="11">
        <v>1.9E-2</v>
      </c>
      <c r="D14" s="10">
        <v>48.4</v>
      </c>
      <c r="E14" s="10">
        <f t="shared" si="0"/>
        <v>42.147435897435891</v>
      </c>
      <c r="F14" s="10">
        <f t="shared" si="1"/>
        <v>14</v>
      </c>
    </row>
    <row r="15" spans="1:6" x14ac:dyDescent="0.35">
      <c r="A15" s="12" t="s">
        <v>23</v>
      </c>
      <c r="B15" s="13">
        <v>20.7</v>
      </c>
      <c r="C15" s="14">
        <v>7.9000000000000008E-3</v>
      </c>
      <c r="D15" s="13">
        <v>50.3</v>
      </c>
      <c r="E15" s="13">
        <f t="shared" si="0"/>
        <v>47.435897435897431</v>
      </c>
      <c r="F15" s="13">
        <f t="shared" si="1"/>
        <v>12.100000000000001</v>
      </c>
    </row>
    <row r="16" spans="1:6" x14ac:dyDescent="0.35">
      <c r="A16" s="9" t="s">
        <v>24</v>
      </c>
      <c r="B16" s="10">
        <v>20.6</v>
      </c>
      <c r="C16" s="11">
        <v>7.6E-3</v>
      </c>
      <c r="D16" s="10">
        <v>50.3</v>
      </c>
      <c r="E16" s="10">
        <f t="shared" si="0"/>
        <v>47.59615384615384</v>
      </c>
      <c r="F16" s="10">
        <f t="shared" si="1"/>
        <v>12.100000000000001</v>
      </c>
    </row>
    <row r="17" spans="1:7" x14ac:dyDescent="0.35">
      <c r="A17" s="12" t="s">
        <v>25</v>
      </c>
      <c r="B17" s="13">
        <v>22.2</v>
      </c>
      <c r="C17" s="14">
        <v>2.9000000000000001E-2</v>
      </c>
      <c r="D17" s="13">
        <v>49</v>
      </c>
      <c r="E17" s="13">
        <f t="shared" si="0"/>
        <v>42.948717948717949</v>
      </c>
      <c r="F17" s="13">
        <f t="shared" si="1"/>
        <v>13.399999999999999</v>
      </c>
    </row>
    <row r="18" spans="1:7" x14ac:dyDescent="0.35">
      <c r="A18" s="15" t="s">
        <v>26</v>
      </c>
      <c r="B18" s="16">
        <v>22.6</v>
      </c>
      <c r="C18" s="17">
        <v>1.0999999999999999E-2</v>
      </c>
      <c r="D18" s="16">
        <v>49.6</v>
      </c>
      <c r="E18" s="34">
        <f t="shared" si="0"/>
        <v>43.269230769230774</v>
      </c>
      <c r="F18" s="16">
        <f t="shared" si="1"/>
        <v>12.799999999999997</v>
      </c>
    </row>
    <row r="19" spans="1:7" x14ac:dyDescent="0.35">
      <c r="A19" s="28" t="s">
        <v>27</v>
      </c>
      <c r="B19" s="29">
        <f>AVERAGE(B5:B18)</f>
        <v>22</v>
      </c>
      <c r="C19" s="37">
        <f>AVERAGE(C5:C18)</f>
        <v>1.3621428571428571E-2</v>
      </c>
      <c r="D19" s="29">
        <f>AVERAGE(D5:D18)</f>
        <v>49.56428571428571</v>
      </c>
      <c r="E19" s="29">
        <f>AVERAGE(E5:E18)</f>
        <v>44.173534798534789</v>
      </c>
      <c r="F19" s="29">
        <f>AVERAGE(F5:F18)</f>
        <v>12.835714285714285</v>
      </c>
      <c r="G19" s="35"/>
    </row>
    <row r="20" spans="1:7" x14ac:dyDescent="0.35">
      <c r="A20" s="36" t="s">
        <v>28</v>
      </c>
      <c r="B20" s="32">
        <f>STDEV(B5:B18)</f>
        <v>0.81429535371198269</v>
      </c>
      <c r="C20" s="37">
        <f>STDEV(C5:C18)</f>
        <v>9.2843274534958244E-3</v>
      </c>
      <c r="D20" s="32">
        <f>STDEV(D5:D18)</f>
        <v>1.5305138115915613</v>
      </c>
      <c r="E20" s="32">
        <f>STDEV(E5:E18)</f>
        <v>3.2190324289722225</v>
      </c>
      <c r="F20" s="32">
        <f>STDEV(F5:F18)</f>
        <v>1.5305138115915622</v>
      </c>
    </row>
    <row r="21" spans="1:7" x14ac:dyDescent="0.35">
      <c r="A21" s="36" t="s">
        <v>66</v>
      </c>
      <c r="B21" s="38">
        <f>B19/62.4*1000</f>
        <v>352.5641025641026</v>
      </c>
      <c r="C21" s="37"/>
      <c r="D21" s="38">
        <f>D19/62.4*1000</f>
        <v>794.29945054945051</v>
      </c>
      <c r="E21" s="38"/>
      <c r="F21" s="32"/>
    </row>
    <row r="22" spans="1:7" x14ac:dyDescent="0.35">
      <c r="A22" s="36"/>
      <c r="B22" s="38">
        <f>B20/62.4*1000</f>
        <v>13.04960502743562</v>
      </c>
      <c r="C22" s="37"/>
      <c r="D22" s="38">
        <f>D20/62.4*1000</f>
        <v>24.527464929351947</v>
      </c>
      <c r="E22" s="32"/>
      <c r="F22" s="32"/>
    </row>
    <row r="23" spans="1:7" x14ac:dyDescent="0.35">
      <c r="A23" s="36" t="s">
        <v>65</v>
      </c>
      <c r="B23" s="29">
        <f>MAX(B5:B18)</f>
        <v>22.9</v>
      </c>
      <c r="C23" s="31">
        <f>MAX(C5:C18)</f>
        <v>3.5999999999999997E-2</v>
      </c>
      <c r="D23" s="29">
        <f>MAX(D5:D18)</f>
        <v>51.5</v>
      </c>
      <c r="E23" s="29">
        <f>MAX(E5:E18)</f>
        <v>48.878205128205124</v>
      </c>
      <c r="F23" s="29">
        <f>MAX(F5:F18)</f>
        <v>16.600000000000001</v>
      </c>
    </row>
    <row r="24" spans="1:7" x14ac:dyDescent="0.35">
      <c r="A24" s="36"/>
      <c r="B24" s="39"/>
      <c r="E24" s="39"/>
    </row>
    <row r="25" spans="1:7" x14ac:dyDescent="0.35">
      <c r="A25" t="s">
        <v>62</v>
      </c>
    </row>
    <row r="26" spans="1:7" x14ac:dyDescent="0.35">
      <c r="A26" s="18" t="s">
        <v>29</v>
      </c>
      <c r="B26" s="7">
        <v>29</v>
      </c>
      <c r="C26" s="8">
        <v>1.4E-3</v>
      </c>
      <c r="D26" s="7">
        <v>50.5</v>
      </c>
      <c r="E26" s="7">
        <f>(D26-B26)/62.4*100</f>
        <v>34.455128205128204</v>
      </c>
      <c r="F26" s="7">
        <f>62.4-D26</f>
        <v>11.899999999999999</v>
      </c>
    </row>
    <row r="27" spans="1:7" x14ac:dyDescent="0.35">
      <c r="A27" s="19" t="s">
        <v>30</v>
      </c>
      <c r="B27" s="10">
        <v>28.4</v>
      </c>
      <c r="C27" s="11">
        <v>8.3000000000000001E-4</v>
      </c>
      <c r="D27" s="10">
        <v>50.7</v>
      </c>
      <c r="E27" s="10">
        <f t="shared" ref="E27:E44" si="2">(D27-B27)/62.4*100</f>
        <v>35.737179487179496</v>
      </c>
      <c r="F27" s="10">
        <f t="shared" ref="F27:F44" si="3">62.4-D27</f>
        <v>11.699999999999996</v>
      </c>
    </row>
    <row r="28" spans="1:7" x14ac:dyDescent="0.35">
      <c r="A28" s="20" t="s">
        <v>31</v>
      </c>
      <c r="B28" s="13">
        <v>28.8</v>
      </c>
      <c r="C28" s="14">
        <v>1.6999999999999999E-3</v>
      </c>
      <c r="D28" s="13">
        <v>50</v>
      </c>
      <c r="E28" s="13">
        <f t="shared" si="2"/>
        <v>33.974358974358978</v>
      </c>
      <c r="F28" s="13">
        <f t="shared" si="3"/>
        <v>12.399999999999999</v>
      </c>
    </row>
    <row r="29" spans="1:7" x14ac:dyDescent="0.35">
      <c r="A29" s="19" t="s">
        <v>32</v>
      </c>
      <c r="B29" s="10">
        <v>28.5</v>
      </c>
      <c r="C29" s="11">
        <v>1.6000000000000001E-3</v>
      </c>
      <c r="D29" s="10">
        <v>50.8</v>
      </c>
      <c r="E29" s="10">
        <f t="shared" si="2"/>
        <v>35.737179487179482</v>
      </c>
      <c r="F29" s="10">
        <f t="shared" si="3"/>
        <v>11.600000000000001</v>
      </c>
    </row>
    <row r="30" spans="1:7" x14ac:dyDescent="0.35">
      <c r="A30" s="20" t="s">
        <v>33</v>
      </c>
      <c r="B30" s="13">
        <v>28.4</v>
      </c>
      <c r="C30" s="14">
        <v>1.2999999999999999E-3</v>
      </c>
      <c r="D30" s="13">
        <v>51</v>
      </c>
      <c r="E30" s="13">
        <f t="shared" si="2"/>
        <v>36.217948717948723</v>
      </c>
      <c r="F30" s="13">
        <f t="shared" si="3"/>
        <v>11.399999999999999</v>
      </c>
    </row>
    <row r="31" spans="1:7" x14ac:dyDescent="0.35">
      <c r="A31" s="19" t="s">
        <v>34</v>
      </c>
      <c r="B31" s="10">
        <v>28</v>
      </c>
      <c r="C31" s="11">
        <v>2.0999999999999999E-3</v>
      </c>
      <c r="D31" s="10">
        <v>50.7</v>
      </c>
      <c r="E31" s="10">
        <f t="shared" si="2"/>
        <v>36.378205128205131</v>
      </c>
      <c r="F31" s="10">
        <f t="shared" si="3"/>
        <v>11.699999999999996</v>
      </c>
    </row>
    <row r="32" spans="1:7" x14ac:dyDescent="0.35">
      <c r="A32" s="20" t="s">
        <v>35</v>
      </c>
      <c r="B32" s="13">
        <v>28.5</v>
      </c>
      <c r="C32" s="14">
        <v>1.5E-3</v>
      </c>
      <c r="D32" s="13">
        <v>51.6</v>
      </c>
      <c r="E32" s="13">
        <f t="shared" si="2"/>
        <v>37.019230769230774</v>
      </c>
      <c r="F32" s="13">
        <f t="shared" si="3"/>
        <v>10.799999999999997</v>
      </c>
    </row>
    <row r="33" spans="1:6" x14ac:dyDescent="0.35">
      <c r="A33" s="19" t="s">
        <v>36</v>
      </c>
      <c r="B33" s="10">
        <v>28.7</v>
      </c>
      <c r="C33" s="11">
        <v>2.5999999999999999E-3</v>
      </c>
      <c r="D33" s="10">
        <v>50.9</v>
      </c>
      <c r="E33" s="10">
        <f t="shared" si="2"/>
        <v>35.57692307692308</v>
      </c>
      <c r="F33" s="10">
        <f t="shared" si="3"/>
        <v>11.5</v>
      </c>
    </row>
    <row r="34" spans="1:6" x14ac:dyDescent="0.35">
      <c r="A34" s="20" t="s">
        <v>37</v>
      </c>
      <c r="B34" s="13">
        <v>29.1</v>
      </c>
      <c r="C34" s="14">
        <v>2.0999999999999999E-3</v>
      </c>
      <c r="D34" s="13">
        <v>51.6</v>
      </c>
      <c r="E34" s="13">
        <f t="shared" si="2"/>
        <v>36.057692307692307</v>
      </c>
      <c r="F34" s="13">
        <f t="shared" si="3"/>
        <v>10.799999999999997</v>
      </c>
    </row>
    <row r="35" spans="1:6" x14ac:dyDescent="0.35">
      <c r="A35" s="19" t="s">
        <v>38</v>
      </c>
      <c r="B35" s="10">
        <v>28.3</v>
      </c>
      <c r="C35" s="11">
        <v>1.6000000000000001E-3</v>
      </c>
      <c r="D35" s="10">
        <v>50.3</v>
      </c>
      <c r="E35" s="10">
        <f t="shared" si="2"/>
        <v>35.256410256410255</v>
      </c>
      <c r="F35" s="10">
        <f t="shared" si="3"/>
        <v>12.100000000000001</v>
      </c>
    </row>
    <row r="36" spans="1:6" x14ac:dyDescent="0.35">
      <c r="A36" s="20" t="s">
        <v>39</v>
      </c>
      <c r="B36" s="13">
        <v>27.7</v>
      </c>
      <c r="C36" s="14">
        <v>9.1E-4</v>
      </c>
      <c r="D36" s="13">
        <v>49.4</v>
      </c>
      <c r="E36" s="13">
        <f t="shared" si="2"/>
        <v>34.775641025641022</v>
      </c>
      <c r="F36" s="13">
        <f t="shared" si="3"/>
        <v>13</v>
      </c>
    </row>
    <row r="37" spans="1:6" x14ac:dyDescent="0.35">
      <c r="A37" s="19" t="s">
        <v>40</v>
      </c>
      <c r="B37" s="10">
        <v>29.2</v>
      </c>
      <c r="C37" s="11">
        <v>1.2999999999999999E-2</v>
      </c>
      <c r="D37" s="10">
        <v>44.2</v>
      </c>
      <c r="E37" s="10">
        <f t="shared" si="2"/>
        <v>24.038461538461544</v>
      </c>
      <c r="F37" s="10">
        <f t="shared" si="3"/>
        <v>18.199999999999996</v>
      </c>
    </row>
    <row r="38" spans="1:6" x14ac:dyDescent="0.35">
      <c r="A38" s="20" t="s">
        <v>41</v>
      </c>
      <c r="B38" s="13">
        <v>28</v>
      </c>
      <c r="C38" s="14">
        <v>2.0999999999999999E-3</v>
      </c>
      <c r="D38" s="13">
        <v>50.9</v>
      </c>
      <c r="E38" s="13">
        <f t="shared" si="2"/>
        <v>36.698717948717949</v>
      </c>
      <c r="F38" s="13">
        <f t="shared" si="3"/>
        <v>11.5</v>
      </c>
    </row>
    <row r="39" spans="1:6" x14ac:dyDescent="0.35">
      <c r="A39" s="19" t="s">
        <v>42</v>
      </c>
      <c r="B39" s="10">
        <v>28.8</v>
      </c>
      <c r="C39" s="11">
        <v>1.4E-3</v>
      </c>
      <c r="D39" s="10">
        <v>50.8</v>
      </c>
      <c r="E39" s="10">
        <f t="shared" si="2"/>
        <v>35.256410256410255</v>
      </c>
      <c r="F39" s="10">
        <f t="shared" si="3"/>
        <v>11.600000000000001</v>
      </c>
    </row>
    <row r="40" spans="1:6" x14ac:dyDescent="0.35">
      <c r="A40" s="20" t="s">
        <v>43</v>
      </c>
      <c r="B40" s="13">
        <v>28.9</v>
      </c>
      <c r="C40" s="14">
        <v>2E-3</v>
      </c>
      <c r="D40" s="13">
        <v>51.4</v>
      </c>
      <c r="E40" s="13">
        <f t="shared" si="2"/>
        <v>36.057692307692307</v>
      </c>
      <c r="F40" s="13">
        <f t="shared" si="3"/>
        <v>11</v>
      </c>
    </row>
    <row r="41" spans="1:6" x14ac:dyDescent="0.35">
      <c r="A41" s="19" t="s">
        <v>44</v>
      </c>
      <c r="B41" s="10">
        <v>28.1</v>
      </c>
      <c r="C41" s="11">
        <v>1.1999999999999999E-3</v>
      </c>
      <c r="D41" s="10">
        <v>51.1</v>
      </c>
      <c r="E41" s="10">
        <f t="shared" si="2"/>
        <v>36.858974358974365</v>
      </c>
      <c r="F41" s="10">
        <f t="shared" si="3"/>
        <v>11.299999999999997</v>
      </c>
    </row>
    <row r="42" spans="1:6" x14ac:dyDescent="0.35">
      <c r="A42" s="20" t="s">
        <v>45</v>
      </c>
      <c r="B42" s="13">
        <v>28.2</v>
      </c>
      <c r="C42" s="14">
        <v>2.0999999999999999E-3</v>
      </c>
      <c r="D42" s="13">
        <v>50</v>
      </c>
      <c r="E42" s="13">
        <f t="shared" si="2"/>
        <v>34.935897435897438</v>
      </c>
      <c r="F42" s="13">
        <f t="shared" si="3"/>
        <v>12.399999999999999</v>
      </c>
    </row>
    <row r="43" spans="1:6" x14ac:dyDescent="0.35">
      <c r="A43" s="19" t="s">
        <v>46</v>
      </c>
      <c r="B43" s="10">
        <v>27.7</v>
      </c>
      <c r="C43" s="11">
        <v>1E-3</v>
      </c>
      <c r="D43" s="10">
        <v>49.7</v>
      </c>
      <c r="E43" s="10">
        <f t="shared" si="2"/>
        <v>35.256410256410263</v>
      </c>
      <c r="F43" s="10">
        <f t="shared" si="3"/>
        <v>12.699999999999996</v>
      </c>
    </row>
    <row r="44" spans="1:6" x14ac:dyDescent="0.35">
      <c r="A44" s="21" t="s">
        <v>47</v>
      </c>
      <c r="B44" s="22">
        <v>29.6</v>
      </c>
      <c r="C44" s="23">
        <v>1.1000000000000001E-3</v>
      </c>
      <c r="D44" s="22">
        <v>51.3</v>
      </c>
      <c r="E44" s="22">
        <f t="shared" si="2"/>
        <v>34.775641025641022</v>
      </c>
      <c r="F44" s="22">
        <f t="shared" si="3"/>
        <v>11.100000000000001</v>
      </c>
    </row>
    <row r="45" spans="1:6" x14ac:dyDescent="0.35">
      <c r="A45" s="28" t="s">
        <v>27</v>
      </c>
      <c r="B45" s="29">
        <f>AVERAGE(B26:B44)</f>
        <v>28.521052631578947</v>
      </c>
      <c r="C45" s="37">
        <f>AVERAGE(C26:C44)</f>
        <v>2.1863157894736838E-3</v>
      </c>
      <c r="D45" s="29">
        <f>AVERAGE(D26:D44)</f>
        <v>50.363157894736844</v>
      </c>
      <c r="E45" s="29">
        <f>AVERAGE(E26:E44)</f>
        <v>35.003373819163301</v>
      </c>
      <c r="F45" s="29">
        <f>AVERAGE(F26:F44)</f>
        <v>12.036842105263155</v>
      </c>
    </row>
    <row r="46" spans="1:6" x14ac:dyDescent="0.35">
      <c r="A46" s="30" t="s">
        <v>28</v>
      </c>
      <c r="B46" s="32">
        <f>STDEV(B26:B44)</f>
        <v>0.51486670051407091</v>
      </c>
      <c r="C46" s="37">
        <f>STDEV(C26:C44)</f>
        <v>2.6626787066292546E-3</v>
      </c>
      <c r="D46" s="32">
        <f>STDEV(D26:D44)</f>
        <v>1.612179520716456</v>
      </c>
      <c r="E46" s="32">
        <f>STDEV(E26:E44)</f>
        <v>2.7815329387839718</v>
      </c>
      <c r="F46" s="32">
        <f>STDEV(F26:F44)</f>
        <v>1.6121795207164793</v>
      </c>
    </row>
    <row r="47" spans="1:6" x14ac:dyDescent="0.35">
      <c r="A47" s="36" t="s">
        <v>66</v>
      </c>
      <c r="B47" s="38">
        <f>B45/62.4*1000</f>
        <v>457.06815114709855</v>
      </c>
      <c r="C47" s="37"/>
      <c r="D47" s="38">
        <f>D45/62.4*1000</f>
        <v>807.10188933873155</v>
      </c>
      <c r="E47" s="32"/>
      <c r="F47" s="32"/>
    </row>
    <row r="48" spans="1:6" x14ac:dyDescent="0.35">
      <c r="A48" s="30"/>
      <c r="B48" s="29">
        <f>B46/62.4*1000</f>
        <v>8.2510689184947275</v>
      </c>
      <c r="C48" s="37"/>
      <c r="D48" s="38">
        <f>D46/62.4*1000</f>
        <v>25.836210267891921</v>
      </c>
      <c r="E48" s="32"/>
      <c r="F48" s="32"/>
    </row>
    <row r="49" spans="1:7" x14ac:dyDescent="0.35">
      <c r="A49" s="36" t="s">
        <v>65</v>
      </c>
      <c r="B49" s="29">
        <f>MAX(B26:B44)</f>
        <v>29.6</v>
      </c>
      <c r="C49" s="31">
        <f>MAX(C26:C44)</f>
        <v>1.2999999999999999E-2</v>
      </c>
      <c r="D49" s="29">
        <f>MAX(D26:D44)</f>
        <v>51.6</v>
      </c>
      <c r="E49" s="29">
        <f>MAX(E26:E44)</f>
        <v>37.019230769230774</v>
      </c>
      <c r="F49" s="29">
        <f>MAX(F26:F44)</f>
        <v>18.199999999999996</v>
      </c>
    </row>
    <row r="50" spans="1:7" x14ac:dyDescent="0.35">
      <c r="A50" s="36"/>
      <c r="B50" s="39"/>
      <c r="E50" s="39"/>
    </row>
    <row r="51" spans="1:7" x14ac:dyDescent="0.35">
      <c r="B51" s="39"/>
      <c r="C51" s="39"/>
      <c r="D51" s="39"/>
      <c r="E51" s="39"/>
    </row>
    <row r="52" spans="1:7" x14ac:dyDescent="0.35">
      <c r="A52" t="s">
        <v>63</v>
      </c>
    </row>
    <row r="53" spans="1:7" x14ac:dyDescent="0.35">
      <c r="A53" s="19" t="s">
        <v>52</v>
      </c>
      <c r="B53" s="10">
        <v>26.2</v>
      </c>
      <c r="C53" s="11">
        <v>0.23</v>
      </c>
      <c r="D53" s="10">
        <v>64.400000000000006</v>
      </c>
      <c r="E53" s="10">
        <f>(D53-B53)/62.4*100</f>
        <v>61.217948717948723</v>
      </c>
      <c r="F53" s="10">
        <f t="shared" ref="F53:F60" si="4">62.4-D53</f>
        <v>-2.0000000000000071</v>
      </c>
    </row>
    <row r="54" spans="1:7" x14ac:dyDescent="0.35">
      <c r="A54" s="20" t="s">
        <v>53</v>
      </c>
      <c r="B54" s="13">
        <v>25.8</v>
      </c>
      <c r="C54" s="14">
        <v>0.15</v>
      </c>
      <c r="D54" s="13">
        <v>63.6</v>
      </c>
      <c r="E54" s="13">
        <f t="shared" ref="E54:E60" si="5">(D54-B54)/62.4*100</f>
        <v>60.576923076923073</v>
      </c>
      <c r="F54" s="13">
        <f t="shared" si="4"/>
        <v>-1.2000000000000028</v>
      </c>
    </row>
    <row r="55" spans="1:7" x14ac:dyDescent="0.35">
      <c r="A55" s="19" t="s">
        <v>54</v>
      </c>
      <c r="B55" s="10">
        <v>25.5</v>
      </c>
      <c r="C55" s="11">
        <v>0.36</v>
      </c>
      <c r="D55" s="10">
        <v>61.8</v>
      </c>
      <c r="E55" s="10">
        <f t="shared" si="5"/>
        <v>58.17307692307692</v>
      </c>
      <c r="F55" s="10">
        <f t="shared" si="4"/>
        <v>0.60000000000000142</v>
      </c>
    </row>
    <row r="56" spans="1:7" x14ac:dyDescent="0.35">
      <c r="A56" s="20" t="s">
        <v>55</v>
      </c>
      <c r="B56" s="13">
        <v>26.1</v>
      </c>
      <c r="C56" s="14">
        <v>0.28999999999999998</v>
      </c>
      <c r="D56" s="13">
        <v>62.3</v>
      </c>
      <c r="E56" s="13">
        <f t="shared" si="5"/>
        <v>58.012820512820504</v>
      </c>
      <c r="F56" s="13">
        <f t="shared" si="4"/>
        <v>0.10000000000000142</v>
      </c>
    </row>
    <row r="57" spans="1:7" x14ac:dyDescent="0.35">
      <c r="A57" s="19" t="s">
        <v>56</v>
      </c>
      <c r="B57" s="10">
        <v>26.8</v>
      </c>
      <c r="C57" s="11">
        <v>0.35</v>
      </c>
      <c r="D57" s="10">
        <v>61.9</v>
      </c>
      <c r="E57" s="10">
        <f t="shared" si="5"/>
        <v>56.249999999999986</v>
      </c>
      <c r="F57" s="10">
        <f t="shared" si="4"/>
        <v>0.5</v>
      </c>
    </row>
    <row r="58" spans="1:7" x14ac:dyDescent="0.35">
      <c r="A58" s="20" t="s">
        <v>57</v>
      </c>
      <c r="B58" s="13">
        <v>25.7</v>
      </c>
      <c r="C58" s="14">
        <v>0.31</v>
      </c>
      <c r="D58" s="13">
        <v>62.7</v>
      </c>
      <c r="E58" s="13">
        <f t="shared" si="5"/>
        <v>59.294871794871796</v>
      </c>
      <c r="F58" s="13">
        <f t="shared" si="4"/>
        <v>-0.30000000000000426</v>
      </c>
    </row>
    <row r="59" spans="1:7" x14ac:dyDescent="0.35">
      <c r="A59" s="19" t="s">
        <v>58</v>
      </c>
      <c r="B59" s="10">
        <v>26.6</v>
      </c>
      <c r="C59" s="11">
        <v>0.14000000000000001</v>
      </c>
      <c r="D59" s="10">
        <v>61.7</v>
      </c>
      <c r="E59" s="10">
        <f t="shared" si="5"/>
        <v>56.25</v>
      </c>
      <c r="F59" s="10">
        <f t="shared" si="4"/>
        <v>0.69999999999999574</v>
      </c>
      <c r="G59" s="35"/>
    </row>
    <row r="60" spans="1:7" x14ac:dyDescent="0.35">
      <c r="A60" s="20" t="s">
        <v>59</v>
      </c>
      <c r="B60" s="13">
        <v>26</v>
      </c>
      <c r="C60" s="14">
        <v>0.31</v>
      </c>
      <c r="D60" s="13">
        <v>61.3</v>
      </c>
      <c r="E60" s="13">
        <f t="shared" si="5"/>
        <v>56.570512820512818</v>
      </c>
      <c r="F60" s="13">
        <f t="shared" si="4"/>
        <v>1.1000000000000014</v>
      </c>
      <c r="G60" s="35"/>
    </row>
    <row r="61" spans="1:7" x14ac:dyDescent="0.35">
      <c r="A61" s="28" t="s">
        <v>27</v>
      </c>
      <c r="B61" s="29">
        <f>AVERAGE(B53:B60)</f>
        <v>26.087499999999999</v>
      </c>
      <c r="C61" s="37">
        <f>AVERAGE(C53:C60)</f>
        <v>0.26750000000000002</v>
      </c>
      <c r="D61" s="29">
        <f>AVERAGE(D53:D60)</f>
        <v>62.462499999999999</v>
      </c>
      <c r="E61" s="29">
        <f>AVERAGE(E53:E60)</f>
        <v>58.293269230769226</v>
      </c>
      <c r="F61" s="32">
        <f>AVERAGE(F53:F60)</f>
        <v>-6.2500000000001776E-2</v>
      </c>
    </row>
    <row r="62" spans="1:7" x14ac:dyDescent="0.35">
      <c r="A62" s="30" t="s">
        <v>28</v>
      </c>
      <c r="B62" s="33">
        <f>STDEV(B53:B60)</f>
        <v>0.44219420426517875</v>
      </c>
      <c r="C62" s="37">
        <f>STDEV(C53:C60)</f>
        <v>8.5314544062377803E-2</v>
      </c>
      <c r="D62" s="32">
        <f>STDEV(D53:D60)</f>
        <v>1.0568653110563762</v>
      </c>
      <c r="E62" s="32">
        <f>STDEV(E53:E60)</f>
        <v>1.9340157448879793</v>
      </c>
      <c r="F62" s="32">
        <f>STDEV(F53:F60)</f>
        <v>1.0568653110563762</v>
      </c>
    </row>
    <row r="64" spans="1:7" x14ac:dyDescent="0.35">
      <c r="A64" t="s">
        <v>67</v>
      </c>
      <c r="C64" s="40"/>
      <c r="D64" s="5"/>
    </row>
    <row r="66" spans="1:6" x14ac:dyDescent="0.35">
      <c r="A66" s="19" t="s">
        <v>68</v>
      </c>
      <c r="B66" s="10">
        <v>23.4</v>
      </c>
      <c r="C66" s="11">
        <v>4.5999999999999999E-2</v>
      </c>
      <c r="D66" s="10">
        <v>51.9</v>
      </c>
      <c r="E66" s="10">
        <f>(D66-B66)/62.4*100</f>
        <v>45.67307692307692</v>
      </c>
      <c r="F66" s="10">
        <f t="shared" ref="F66:F73" si="6">62.4-D66</f>
        <v>10.5</v>
      </c>
    </row>
    <row r="67" spans="1:6" x14ac:dyDescent="0.35">
      <c r="A67" s="20" t="s">
        <v>69</v>
      </c>
      <c r="B67" s="13">
        <v>23.8</v>
      </c>
      <c r="C67" s="14">
        <v>4.1000000000000002E-2</v>
      </c>
      <c r="D67" s="13">
        <v>51.4</v>
      </c>
      <c r="E67" s="13">
        <f t="shared" ref="E67:E73" si="7">(D67-B67)/62.4*100</f>
        <v>44.230769230769226</v>
      </c>
      <c r="F67" s="13">
        <f t="shared" si="6"/>
        <v>11</v>
      </c>
    </row>
    <row r="68" spans="1:6" x14ac:dyDescent="0.35">
      <c r="A68" s="19" t="s">
        <v>70</v>
      </c>
      <c r="B68" s="10">
        <v>24</v>
      </c>
      <c r="C68" s="11">
        <v>4.8000000000000001E-2</v>
      </c>
      <c r="D68" s="10">
        <v>51.8</v>
      </c>
      <c r="E68" s="10">
        <f t="shared" si="7"/>
        <v>44.551282051282051</v>
      </c>
      <c r="F68" s="10">
        <f t="shared" si="6"/>
        <v>10.600000000000001</v>
      </c>
    </row>
    <row r="69" spans="1:6" x14ac:dyDescent="0.35">
      <c r="A69" s="20" t="s">
        <v>71</v>
      </c>
      <c r="B69" s="13">
        <v>23.7</v>
      </c>
      <c r="C69" s="14">
        <v>4.1000000000000002E-2</v>
      </c>
      <c r="D69" s="13">
        <v>50.3</v>
      </c>
      <c r="E69" s="13">
        <f t="shared" si="7"/>
        <v>42.628205128205124</v>
      </c>
      <c r="F69" s="13">
        <f t="shared" si="6"/>
        <v>12.100000000000001</v>
      </c>
    </row>
    <row r="70" spans="1:6" x14ac:dyDescent="0.35">
      <c r="A70" s="19" t="s">
        <v>72</v>
      </c>
      <c r="B70" s="10">
        <v>26</v>
      </c>
      <c r="C70" s="11">
        <v>1.0999999999999999E-2</v>
      </c>
      <c r="D70" s="10">
        <v>54.1</v>
      </c>
      <c r="E70" s="10">
        <f t="shared" si="7"/>
        <v>45.032051282051285</v>
      </c>
      <c r="F70" s="10">
        <f t="shared" si="6"/>
        <v>8.2999999999999972</v>
      </c>
    </row>
    <row r="71" spans="1:6" x14ac:dyDescent="0.35">
      <c r="A71" s="20" t="s">
        <v>73</v>
      </c>
      <c r="B71" s="13">
        <v>26.1</v>
      </c>
      <c r="C71" s="14">
        <v>8.8000000000000005E-3</v>
      </c>
      <c r="D71" s="13">
        <v>52.9</v>
      </c>
      <c r="E71" s="13">
        <f t="shared" si="7"/>
        <v>42.948717948717949</v>
      </c>
      <c r="F71" s="13">
        <f t="shared" si="6"/>
        <v>9.5</v>
      </c>
    </row>
    <row r="72" spans="1:6" x14ac:dyDescent="0.35">
      <c r="A72" s="19" t="s">
        <v>74</v>
      </c>
      <c r="B72" s="10">
        <v>25.9</v>
      </c>
      <c r="C72" s="11">
        <v>1.7000000000000001E-2</v>
      </c>
      <c r="D72" s="10">
        <v>54.2</v>
      </c>
      <c r="E72" s="10">
        <f t="shared" si="7"/>
        <v>45.352564102564109</v>
      </c>
      <c r="F72" s="10">
        <f t="shared" si="6"/>
        <v>8.1999999999999957</v>
      </c>
    </row>
    <row r="73" spans="1:6" x14ac:dyDescent="0.35">
      <c r="A73" s="20" t="s">
        <v>75</v>
      </c>
      <c r="B73" s="13">
        <v>26</v>
      </c>
      <c r="C73" s="14">
        <v>1.2E-2</v>
      </c>
      <c r="D73" s="13">
        <v>53.6</v>
      </c>
      <c r="E73" s="13">
        <f t="shared" si="7"/>
        <v>44.230769230769234</v>
      </c>
      <c r="F73" s="13">
        <f t="shared" si="6"/>
        <v>8.7999999999999972</v>
      </c>
    </row>
    <row r="74" spans="1:6" x14ac:dyDescent="0.35">
      <c r="A74" s="28" t="s">
        <v>27</v>
      </c>
      <c r="B74" s="29">
        <f>AVERAGE(B66:B73)</f>
        <v>24.862500000000001</v>
      </c>
      <c r="C74" s="37">
        <f>AVERAGE(C66:C73)</f>
        <v>2.8100000000000007E-2</v>
      </c>
      <c r="D74" s="29">
        <f>AVERAGE(D66:D73)</f>
        <v>52.524999999999999</v>
      </c>
      <c r="E74" s="29">
        <f>AVERAGE(E66:E73)</f>
        <v>44.330929487179482</v>
      </c>
      <c r="F74" s="32">
        <f>AVERAGE(F66:F73)</f>
        <v>9.8749999999999982</v>
      </c>
    </row>
    <row r="75" spans="1:6" x14ac:dyDescent="0.35">
      <c r="A75" s="30" t="s">
        <v>28</v>
      </c>
      <c r="B75" s="33">
        <f>STDEV(B66:B73)</f>
        <v>1.2281664614956957</v>
      </c>
      <c r="C75" s="37">
        <f>STDEV(C66:C73)</f>
        <v>1.7306315940389248E-2</v>
      </c>
      <c r="D75" s="32">
        <f>STDEV(D66:D73)</f>
        <v>1.3997448747131456</v>
      </c>
      <c r="E75" s="32">
        <f>STDEV(E66:E73)</f>
        <v>1.0833194479678894</v>
      </c>
      <c r="F75" s="32">
        <f>STDEV(F66:F73)</f>
        <v>1.3997448747131453</v>
      </c>
    </row>
    <row r="76" spans="1:6" x14ac:dyDescent="0.35">
      <c r="A76" s="36" t="s">
        <v>66</v>
      </c>
      <c r="B76" s="38">
        <f>B74/62.4*1000</f>
        <v>398.4375</v>
      </c>
      <c r="C76" s="37"/>
      <c r="D76" s="38">
        <f>D74/62.4*1000</f>
        <v>841.7467948717948</v>
      </c>
    </row>
    <row r="77" spans="1:6" x14ac:dyDescent="0.35">
      <c r="A77" s="30"/>
      <c r="B77" s="29">
        <f>B75/62.4*1000</f>
        <v>19.682154831661791</v>
      </c>
      <c r="C77" s="37"/>
      <c r="D77" s="38">
        <f>D75/62.4*1000</f>
        <v>22.431808889633743</v>
      </c>
    </row>
    <row r="78" spans="1:6" x14ac:dyDescent="0.35">
      <c r="A78" t="s">
        <v>78</v>
      </c>
    </row>
    <row r="79" spans="1:6" x14ac:dyDescent="0.35">
      <c r="A79" s="19" t="s">
        <v>52</v>
      </c>
      <c r="B79" s="10">
        <v>26.2</v>
      </c>
      <c r="C79" s="11">
        <v>0.23</v>
      </c>
      <c r="D79" s="10">
        <v>64.400000000000006</v>
      </c>
      <c r="E79" s="10">
        <f>(D79-B79)/62.4*100</f>
        <v>61.217948717948723</v>
      </c>
      <c r="F79" s="10">
        <f t="shared" ref="F79:F86" si="8">62.4-D79</f>
        <v>-2.0000000000000071</v>
      </c>
    </row>
    <row r="80" spans="1:6" x14ac:dyDescent="0.35">
      <c r="A80" s="20" t="s">
        <v>53</v>
      </c>
      <c r="B80" s="13">
        <v>25.8</v>
      </c>
      <c r="C80" s="14">
        <v>0.15</v>
      </c>
      <c r="D80" s="13">
        <v>63.6</v>
      </c>
      <c r="E80" s="13">
        <f t="shared" ref="E80:E86" si="9">(D80-B80)/62.4*100</f>
        <v>60.576923076923073</v>
      </c>
      <c r="F80" s="13">
        <f t="shared" si="8"/>
        <v>-1.2000000000000028</v>
      </c>
    </row>
    <row r="81" spans="1:7" x14ac:dyDescent="0.35">
      <c r="A81" s="19" t="s">
        <v>54</v>
      </c>
      <c r="B81" s="10">
        <v>25.5</v>
      </c>
      <c r="C81" s="11">
        <v>0.36</v>
      </c>
      <c r="D81" s="10">
        <v>61.8</v>
      </c>
      <c r="E81" s="10">
        <f t="shared" si="9"/>
        <v>58.17307692307692</v>
      </c>
      <c r="F81" s="10">
        <f t="shared" si="8"/>
        <v>0.60000000000000142</v>
      </c>
    </row>
    <row r="82" spans="1:7" x14ac:dyDescent="0.35">
      <c r="A82" s="20" t="s">
        <v>55</v>
      </c>
      <c r="B82" s="13">
        <v>26.1</v>
      </c>
      <c r="C82" s="14">
        <v>0.28999999999999998</v>
      </c>
      <c r="D82" s="13">
        <v>62.3</v>
      </c>
      <c r="E82" s="13">
        <f t="shared" si="9"/>
        <v>58.012820512820504</v>
      </c>
      <c r="F82" s="13">
        <f t="shared" si="8"/>
        <v>0.10000000000000142</v>
      </c>
    </row>
    <row r="83" spans="1:7" x14ac:dyDescent="0.35">
      <c r="A83" s="19" t="s">
        <v>56</v>
      </c>
      <c r="B83" s="10">
        <v>26.8</v>
      </c>
      <c r="C83" s="11">
        <v>0.35</v>
      </c>
      <c r="D83" s="10">
        <v>61.9</v>
      </c>
      <c r="E83" s="10">
        <f t="shared" si="9"/>
        <v>56.249999999999986</v>
      </c>
      <c r="F83" s="10">
        <f t="shared" si="8"/>
        <v>0.5</v>
      </c>
    </row>
    <row r="84" spans="1:7" x14ac:dyDescent="0.35">
      <c r="A84" s="20" t="s">
        <v>57</v>
      </c>
      <c r="B84" s="13">
        <v>25.7</v>
      </c>
      <c r="C84" s="14">
        <v>0.31</v>
      </c>
      <c r="D84" s="13">
        <v>62.7</v>
      </c>
      <c r="E84" s="13">
        <f t="shared" si="9"/>
        <v>59.294871794871796</v>
      </c>
      <c r="F84" s="13">
        <f t="shared" si="8"/>
        <v>-0.30000000000000426</v>
      </c>
    </row>
    <row r="85" spans="1:7" x14ac:dyDescent="0.35">
      <c r="A85" s="19" t="s">
        <v>58</v>
      </c>
      <c r="B85" s="10">
        <v>26.6</v>
      </c>
      <c r="C85" s="11">
        <v>0.14000000000000001</v>
      </c>
      <c r="D85" s="10">
        <v>61.7</v>
      </c>
      <c r="E85" s="10">
        <f t="shared" si="9"/>
        <v>56.25</v>
      </c>
      <c r="F85" s="10">
        <f t="shared" si="8"/>
        <v>0.69999999999999574</v>
      </c>
      <c r="G85" s="35"/>
    </row>
    <row r="86" spans="1:7" x14ac:dyDescent="0.35">
      <c r="A86" s="20" t="s">
        <v>59</v>
      </c>
      <c r="B86" s="13">
        <v>26</v>
      </c>
      <c r="C86" s="14">
        <v>0.31</v>
      </c>
      <c r="D86" s="13">
        <v>61.3</v>
      </c>
      <c r="E86" s="13">
        <f t="shared" si="9"/>
        <v>56.570512820512818</v>
      </c>
      <c r="F86" s="13">
        <f t="shared" si="8"/>
        <v>1.1000000000000014</v>
      </c>
      <c r="G86" s="35"/>
    </row>
    <row r="87" spans="1:7" x14ac:dyDescent="0.35">
      <c r="A87" s="19" t="s">
        <v>68</v>
      </c>
      <c r="B87" s="10">
        <v>23.4</v>
      </c>
      <c r="C87" s="11">
        <v>4.5999999999999999E-2</v>
      </c>
      <c r="D87" s="10">
        <v>51.9</v>
      </c>
      <c r="E87" s="10">
        <f>(D87-B87)/62.4*100</f>
        <v>45.67307692307692</v>
      </c>
      <c r="F87" s="10">
        <f t="shared" ref="F87:F93" si="10">62.4-D87</f>
        <v>10.5</v>
      </c>
    </row>
    <row r="88" spans="1:7" x14ac:dyDescent="0.35">
      <c r="A88" s="20" t="s">
        <v>69</v>
      </c>
      <c r="B88" s="13">
        <v>23.8</v>
      </c>
      <c r="C88" s="14">
        <v>4.1000000000000002E-2</v>
      </c>
      <c r="D88" s="13">
        <v>51.4</v>
      </c>
      <c r="E88" s="13">
        <f t="shared" ref="E88:E94" si="11">(D88-B88)/62.4*100</f>
        <v>44.230769230769226</v>
      </c>
      <c r="F88" s="13">
        <f t="shared" si="10"/>
        <v>11</v>
      </c>
    </row>
    <row r="89" spans="1:7" x14ac:dyDescent="0.35">
      <c r="A89" s="19" t="s">
        <v>70</v>
      </c>
      <c r="B89" s="10">
        <v>24</v>
      </c>
      <c r="C89" s="11">
        <v>4.8000000000000001E-2</v>
      </c>
      <c r="D89" s="10">
        <v>51.8</v>
      </c>
      <c r="E89" s="10">
        <f t="shared" si="11"/>
        <v>44.551282051282051</v>
      </c>
      <c r="F89" s="10">
        <f t="shared" si="10"/>
        <v>10.600000000000001</v>
      </c>
    </row>
    <row r="90" spans="1:7" x14ac:dyDescent="0.35">
      <c r="A90" s="20" t="s">
        <v>71</v>
      </c>
      <c r="B90" s="13">
        <v>23.7</v>
      </c>
      <c r="C90" s="14">
        <v>4.1000000000000002E-2</v>
      </c>
      <c r="D90" s="13">
        <v>50.3</v>
      </c>
      <c r="E90" s="13">
        <f t="shared" si="11"/>
        <v>42.628205128205124</v>
      </c>
      <c r="F90" s="13">
        <f t="shared" si="10"/>
        <v>12.100000000000001</v>
      </c>
    </row>
    <row r="91" spans="1:7" x14ac:dyDescent="0.35">
      <c r="A91" s="19" t="s">
        <v>72</v>
      </c>
      <c r="B91" s="10">
        <v>26</v>
      </c>
      <c r="C91" s="11">
        <v>1.0999999999999999E-2</v>
      </c>
      <c r="D91" s="10">
        <v>54.1</v>
      </c>
      <c r="E91" s="10">
        <f t="shared" si="11"/>
        <v>45.032051282051285</v>
      </c>
      <c r="F91" s="10">
        <f t="shared" si="10"/>
        <v>8.2999999999999972</v>
      </c>
    </row>
    <row r="92" spans="1:7" x14ac:dyDescent="0.35">
      <c r="A92" s="20" t="s">
        <v>73</v>
      </c>
      <c r="B92" s="13">
        <v>26.1</v>
      </c>
      <c r="C92" s="14">
        <v>8.8000000000000005E-3</v>
      </c>
      <c r="D92" s="13">
        <v>52.9</v>
      </c>
      <c r="E92" s="13">
        <f t="shared" si="11"/>
        <v>42.948717948717949</v>
      </c>
      <c r="F92" s="13">
        <f t="shared" si="10"/>
        <v>9.5</v>
      </c>
    </row>
    <row r="93" spans="1:7" x14ac:dyDescent="0.35">
      <c r="A93" s="19" t="s">
        <v>74</v>
      </c>
      <c r="B93" s="10">
        <v>25.9</v>
      </c>
      <c r="C93" s="11">
        <v>1.7000000000000001E-2</v>
      </c>
      <c r="D93" s="10">
        <v>54.2</v>
      </c>
      <c r="E93" s="10">
        <f t="shared" si="11"/>
        <v>45.352564102564109</v>
      </c>
      <c r="F93" s="10">
        <f t="shared" si="10"/>
        <v>8.1999999999999957</v>
      </c>
    </row>
    <row r="94" spans="1:7" x14ac:dyDescent="0.35">
      <c r="A94" s="20" t="s">
        <v>75</v>
      </c>
      <c r="B94" s="13">
        <v>26</v>
      </c>
      <c r="C94" s="14">
        <v>1.2E-2</v>
      </c>
      <c r="D94" s="13">
        <v>53.6</v>
      </c>
      <c r="E94" s="13">
        <f t="shared" si="11"/>
        <v>44.230769230769234</v>
      </c>
      <c r="F94" s="13">
        <f>62.4-D94</f>
        <v>8.7999999999999972</v>
      </c>
    </row>
    <row r="95" spans="1:7" x14ac:dyDescent="0.35">
      <c r="A95" s="28" t="s">
        <v>27</v>
      </c>
      <c r="B95" s="29">
        <f>AVERAGE(B79:B94)</f>
        <v>25.474999999999998</v>
      </c>
      <c r="C95" s="31">
        <f>AVERAGE(C79:C94)</f>
        <v>0.14779999999999999</v>
      </c>
      <c r="D95" s="29">
        <f>AVERAGE(D79:D94)</f>
        <v>57.493749999999999</v>
      </c>
      <c r="E95" s="29">
        <f>AVERAGE(E79:E94)</f>
        <v>51.312099358974358</v>
      </c>
      <c r="F95" s="32">
        <f>AVERAGE(F79:F94)</f>
        <v>4.9062499999999991</v>
      </c>
    </row>
    <row r="96" spans="1:7" x14ac:dyDescent="0.35">
      <c r="A96" s="30" t="s">
        <v>28</v>
      </c>
      <c r="B96" s="33">
        <f>STDEV(B79:B94)</f>
        <v>1.0933130079411542</v>
      </c>
      <c r="C96" s="31">
        <f>STDEV(C79:C94)</f>
        <v>0.13718503319726</v>
      </c>
      <c r="D96" s="32">
        <f>STDEV(D79:D94)</f>
        <v>5.2697208971000871</v>
      </c>
      <c r="E96" s="32">
        <f>STDEV(E79:E94)</f>
        <v>7.3674315287235022</v>
      </c>
      <c r="F96" s="32">
        <f>STDEV(F87:F94)</f>
        <v>1.3997448747131453</v>
      </c>
    </row>
    <row r="97" spans="1:6" x14ac:dyDescent="0.35">
      <c r="A97" s="36" t="s">
        <v>66</v>
      </c>
      <c r="B97" s="38">
        <f>B95/62.4*1000</f>
        <v>408.25320512820514</v>
      </c>
      <c r="C97" s="37"/>
      <c r="D97" s="38">
        <f>D95/62.4*1000</f>
        <v>921.37419871794873</v>
      </c>
      <c r="E97" s="29">
        <f>AVERAGE(E79:E94)</f>
        <v>51.312099358974358</v>
      </c>
      <c r="F97" s="33">
        <f>(F95)/62.4*9.81</f>
        <v>0.77131911057692293</v>
      </c>
    </row>
    <row r="98" spans="1:6" x14ac:dyDescent="0.35">
      <c r="A98" s="30"/>
      <c r="B98" s="29">
        <f>B96/62.4*1000</f>
        <v>17.521041793928752</v>
      </c>
      <c r="C98" s="37"/>
      <c r="D98" s="38">
        <f>D96/62.4*1000</f>
        <v>84.45065540224499</v>
      </c>
      <c r="F98" s="41">
        <f>F96/62.4*9.81</f>
        <v>0.22005604520730698</v>
      </c>
    </row>
    <row r="100" spans="1:6" x14ac:dyDescent="0.35">
      <c r="A100" t="s">
        <v>76</v>
      </c>
      <c r="B100" s="39"/>
    </row>
    <row r="102" spans="1:6" x14ac:dyDescent="0.35">
      <c r="A102" s="19">
        <v>3</v>
      </c>
      <c r="B102" s="10">
        <v>31.144803900511324</v>
      </c>
      <c r="C102" s="11">
        <v>7.9344399735526705E-2</v>
      </c>
      <c r="D102" s="10" t="s">
        <v>77</v>
      </c>
      <c r="E102" s="10" t="s">
        <v>77</v>
      </c>
      <c r="F102" s="10" t="s">
        <v>77</v>
      </c>
    </row>
    <row r="103" spans="1:6" x14ac:dyDescent="0.35">
      <c r="A103" s="20">
        <v>4</v>
      </c>
      <c r="B103" s="13">
        <v>32.026610960866726</v>
      </c>
      <c r="C103" s="14">
        <v>7.4944587776663463E-2</v>
      </c>
      <c r="D103" s="10" t="s">
        <v>77</v>
      </c>
      <c r="E103" s="10" t="s">
        <v>77</v>
      </c>
      <c r="F103" s="10" t="s">
        <v>77</v>
      </c>
    </row>
    <row r="104" spans="1:6" x14ac:dyDescent="0.35">
      <c r="A104" s="19">
        <v>5</v>
      </c>
      <c r="B104" s="10">
        <v>24.687187177040581</v>
      </c>
      <c r="C104" s="11">
        <v>0.16684355484248725</v>
      </c>
      <c r="D104" s="10" t="s">
        <v>77</v>
      </c>
      <c r="E104" s="10" t="s">
        <v>77</v>
      </c>
      <c r="F104" s="10" t="s">
        <v>77</v>
      </c>
    </row>
    <row r="105" spans="1:6" x14ac:dyDescent="0.35">
      <c r="A105" s="20">
        <v>6</v>
      </c>
      <c r="B105" s="13">
        <v>24.709166038020644</v>
      </c>
      <c r="C105" s="14">
        <v>0.17272285097107948</v>
      </c>
      <c r="D105" s="10" t="s">
        <v>77</v>
      </c>
      <c r="E105" s="10" t="s">
        <v>77</v>
      </c>
      <c r="F105" s="10" t="s">
        <v>77</v>
      </c>
    </row>
    <row r="106" spans="1:6" x14ac:dyDescent="0.35">
      <c r="A106" s="19">
        <v>8</v>
      </c>
      <c r="B106" s="10">
        <v>31.896759698961866</v>
      </c>
      <c r="C106" s="11">
        <v>0.13437749925934919</v>
      </c>
      <c r="D106" s="10" t="s">
        <v>77</v>
      </c>
      <c r="E106" s="10" t="s">
        <v>77</v>
      </c>
      <c r="F106" s="10" t="s">
        <v>77</v>
      </c>
    </row>
    <row r="107" spans="1:6" x14ac:dyDescent="0.35">
      <c r="A107" s="20">
        <v>10</v>
      </c>
      <c r="B107" s="13">
        <v>29.254621856225658</v>
      </c>
      <c r="C107" s="14">
        <v>0.16861214967329957</v>
      </c>
      <c r="D107" s="10" t="s">
        <v>77</v>
      </c>
      <c r="E107" s="10" t="s">
        <v>77</v>
      </c>
      <c r="F107" s="10" t="s">
        <v>77</v>
      </c>
    </row>
    <row r="108" spans="1:6" x14ac:dyDescent="0.35">
      <c r="A108" s="19">
        <v>11</v>
      </c>
      <c r="B108" s="10">
        <v>32.370606753310284</v>
      </c>
      <c r="C108" s="11">
        <v>6.2834993969627814E-2</v>
      </c>
      <c r="D108" s="10" t="s">
        <v>77</v>
      </c>
      <c r="E108" s="10" t="s">
        <v>77</v>
      </c>
      <c r="F108" s="10" t="s">
        <v>77</v>
      </c>
    </row>
    <row r="109" spans="1:6" x14ac:dyDescent="0.35">
      <c r="A109" s="28" t="s">
        <v>27</v>
      </c>
      <c r="B109" s="29">
        <f>AVERAGE(B102:B108)</f>
        <v>29.441393769276726</v>
      </c>
      <c r="C109" s="31">
        <f>AVERAGE(C102:C108)</f>
        <v>0.12281143374686192</v>
      </c>
      <c r="D109" s="10" t="s">
        <v>77</v>
      </c>
      <c r="E109" s="10" t="s">
        <v>77</v>
      </c>
      <c r="F109" s="10" t="s">
        <v>77</v>
      </c>
    </row>
    <row r="110" spans="1:6" x14ac:dyDescent="0.35">
      <c r="A110" s="30" t="s">
        <v>28</v>
      </c>
      <c r="B110" s="33">
        <f>STDEV(B102:B108)</f>
        <v>3.3966995727963329</v>
      </c>
      <c r="C110" s="31">
        <f>STDEV(C102:C108)</f>
        <v>4.9056511673702362E-2</v>
      </c>
      <c r="D110" s="10" t="s">
        <v>77</v>
      </c>
      <c r="E110" s="10" t="s">
        <v>77</v>
      </c>
      <c r="F110" s="10" t="s">
        <v>77</v>
      </c>
    </row>
    <row r="111" spans="1:6" x14ac:dyDescent="0.35">
      <c r="A111" s="36" t="s">
        <v>66</v>
      </c>
      <c r="B111" s="38">
        <f>B109/62.4*1000</f>
        <v>471.8172078409732</v>
      </c>
      <c r="C111" s="37"/>
      <c r="D111" s="10" t="s">
        <v>77</v>
      </c>
    </row>
    <row r="112" spans="1:6" x14ac:dyDescent="0.35">
      <c r="A112" s="30"/>
      <c r="B112" s="29">
        <f>B110/62.4*1000</f>
        <v>54.434288025582262</v>
      </c>
      <c r="C112" s="37"/>
      <c r="D112" s="10" t="s">
        <v>77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C2A46-B09C-4F33-A60D-42DE16F7D31D}">
  <dimension ref="T1:X80"/>
  <sheetViews>
    <sheetView tabSelected="1" topLeftCell="A7" workbookViewId="0">
      <selection activeCell="U17" sqref="U17:U19"/>
    </sheetView>
  </sheetViews>
  <sheetFormatPr defaultRowHeight="14.5" x14ac:dyDescent="0.35"/>
  <cols>
    <col min="20" max="20" width="10.6328125" customWidth="1"/>
  </cols>
  <sheetData>
    <row r="1" spans="20:24" x14ac:dyDescent="0.35">
      <c r="T1" t="s">
        <v>82</v>
      </c>
      <c r="U1">
        <v>10</v>
      </c>
    </row>
    <row r="3" spans="20:24" x14ac:dyDescent="0.35">
      <c r="T3" t="s">
        <v>79</v>
      </c>
      <c r="U3">
        <f>-LN($U$1)*14.39+62.674</f>
        <v>29.539800511815677</v>
      </c>
      <c r="V3">
        <f>-LN($U$1)*15.51+61.956</f>
        <v>26.242905207662353</v>
      </c>
      <c r="W3">
        <f>-LN($U$1)*19.76+78.412</f>
        <v>32.912918562437653</v>
      </c>
      <c r="X3">
        <f>-LN($U$1)*21.35+88.819</f>
        <v>39.658808264577118</v>
      </c>
    </row>
    <row r="4" spans="20:24" x14ac:dyDescent="0.35">
      <c r="T4" t="s">
        <v>80</v>
      </c>
      <c r="U4">
        <f>-LN($U$1)*13.49+54.321</f>
        <v>23.259127095510319</v>
      </c>
      <c r="V4">
        <f>-LN($U$1)*14.49+57.813</f>
        <v>24.448542002516277</v>
      </c>
      <c r="W4">
        <f>-LN($U$1)*22.3+92.736</f>
        <v>41.388352426232778</v>
      </c>
      <c r="X4">
        <f>-LN($U$1)*19.43+76.34</f>
        <v>31.60077164312569</v>
      </c>
    </row>
    <row r="5" spans="20:24" x14ac:dyDescent="0.35">
      <c r="T5" t="s">
        <v>81</v>
      </c>
      <c r="U5">
        <f>-LN($U$1)*16.68+70.363</f>
        <v>31.955880648859313</v>
      </c>
      <c r="V5">
        <f>-LN($U$1)*17.22+72.437</f>
        <v>32.786484698642532</v>
      </c>
      <c r="W5">
        <f>-LN($U$1)*18.92+73.399</f>
        <v>29.834090040552645</v>
      </c>
      <c r="X5">
        <f>-LN($U$1)*23.22+97.244</f>
        <v>43.777974140678253</v>
      </c>
    </row>
    <row r="7" spans="20:24" x14ac:dyDescent="0.35">
      <c r="T7" t="s">
        <v>83</v>
      </c>
      <c r="U7">
        <f>AVERAGE(U3:X3)</f>
        <v>32.088608136623201</v>
      </c>
    </row>
    <row r="8" spans="20:24" x14ac:dyDescent="0.35">
      <c r="T8" t="s">
        <v>84</v>
      </c>
      <c r="U8">
        <f>AVERAGE(U4:X4)</f>
        <v>30.174198291846267</v>
      </c>
    </row>
    <row r="9" spans="20:24" x14ac:dyDescent="0.35">
      <c r="T9" t="s">
        <v>85</v>
      </c>
      <c r="U9">
        <f>AVERAGE(U5:X5)</f>
        <v>34.588607382183184</v>
      </c>
    </row>
    <row r="11" spans="20:24" x14ac:dyDescent="0.35">
      <c r="T11" t="s">
        <v>82</v>
      </c>
      <c r="U11">
        <v>30</v>
      </c>
    </row>
    <row r="13" spans="20:24" x14ac:dyDescent="0.35">
      <c r="T13" t="s">
        <v>79</v>
      </c>
      <c r="U13">
        <f>-LN($U$11)*14.39+62.674</f>
        <v>13.730769677881582</v>
      </c>
      <c r="V13">
        <f>-LN($U$11)*15.51+61.956</f>
        <v>9.2034286104199694</v>
      </c>
      <c r="W13">
        <f>-LN($U$11)*19.76+78.412</f>
        <v>11.204339738355813</v>
      </c>
      <c r="X13">
        <f>-LN($U$11)*21.35+88.819</f>
        <v>16.203435901512975</v>
      </c>
    </row>
    <row r="14" spans="20:24" x14ac:dyDescent="0.35">
      <c r="T14" t="s">
        <v>80</v>
      </c>
      <c r="U14">
        <f>-LN($U$11)*13.49+54.321</f>
        <v>8.4388473213775228</v>
      </c>
      <c r="V14">
        <f>-LN($U$11)*14.49+57.813</f>
        <v>8.5296499397153696</v>
      </c>
      <c r="W14">
        <f>-LN($U$11)*22.3+92.736</f>
        <v>16.889298388933938</v>
      </c>
      <c r="X14">
        <f>-LN($U$11)*19.43+76.34</f>
        <v>10.254734874304319</v>
      </c>
    </row>
    <row r="15" spans="20:24" x14ac:dyDescent="0.35">
      <c r="T15" t="s">
        <v>81</v>
      </c>
      <c r="U15">
        <f>-LN($U$11)*16.68+70.363</f>
        <v>13.631027673875245</v>
      </c>
      <c r="V15">
        <f>-LN($U$11)*17.22+72.437</f>
        <v>13.868381087777685</v>
      </c>
      <c r="W15">
        <f>-LN($U$11)*18.92+73.399</f>
        <v>9.0483455389520202</v>
      </c>
      <c r="X15">
        <f>-LN($U$11)*23.22+97.244</f>
        <v>18.268196797804748</v>
      </c>
    </row>
    <row r="17" spans="20:21" x14ac:dyDescent="0.35">
      <c r="T17" t="s">
        <v>83</v>
      </c>
      <c r="U17">
        <f>AVERAGE(U13:X13)</f>
        <v>12.585493482042585</v>
      </c>
    </row>
    <row r="18" spans="20:21" x14ac:dyDescent="0.35">
      <c r="T18" t="s">
        <v>84</v>
      </c>
      <c r="U18">
        <f>AVERAGE(U14:X14)</f>
        <v>11.028132631082787</v>
      </c>
    </row>
    <row r="19" spans="20:21" x14ac:dyDescent="0.35">
      <c r="T19" t="s">
        <v>85</v>
      </c>
      <c r="U19">
        <f>AVERAGE(U15:X15)</f>
        <v>13.703987774602425</v>
      </c>
    </row>
    <row r="27" spans="20:21" x14ac:dyDescent="0.35">
      <c r="T27" t="s">
        <v>82</v>
      </c>
      <c r="U27">
        <v>10</v>
      </c>
    </row>
    <row r="29" spans="20:21" x14ac:dyDescent="0.35">
      <c r="T29" t="s">
        <v>79</v>
      </c>
      <c r="U29">
        <f>-LN($U$1)*15.51+61.956</f>
        <v>26.242905207662353</v>
      </c>
    </row>
    <row r="30" spans="20:21" x14ac:dyDescent="0.35">
      <c r="T30" t="s">
        <v>80</v>
      </c>
      <c r="U30">
        <f>-LN($U$1)*14.49+57.813</f>
        <v>24.448542002516277</v>
      </c>
    </row>
    <row r="31" spans="20:21" x14ac:dyDescent="0.35">
      <c r="T31" t="s">
        <v>81</v>
      </c>
      <c r="U31">
        <f>-LN($U$1)*17.22+72.437</f>
        <v>32.786484698642532</v>
      </c>
    </row>
    <row r="53" spans="20:21" x14ac:dyDescent="0.35">
      <c r="T53" t="s">
        <v>82</v>
      </c>
      <c r="U53">
        <v>10</v>
      </c>
    </row>
    <row r="55" spans="20:21" x14ac:dyDescent="0.35">
      <c r="T55" t="s">
        <v>79</v>
      </c>
      <c r="U55">
        <f>-LN($U$1)*19.76+78.412</f>
        <v>32.912918562437653</v>
      </c>
    </row>
    <row r="56" spans="20:21" x14ac:dyDescent="0.35">
      <c r="T56" t="s">
        <v>80</v>
      </c>
      <c r="U56">
        <f>-LN($U$1)*22.3+92.736</f>
        <v>41.388352426232778</v>
      </c>
    </row>
    <row r="57" spans="20:21" x14ac:dyDescent="0.35">
      <c r="T57" t="s">
        <v>81</v>
      </c>
      <c r="U57">
        <f>-LN($U$1)*18.92+73.399</f>
        <v>29.834090040552645</v>
      </c>
    </row>
    <row r="76" spans="20:21" x14ac:dyDescent="0.35">
      <c r="T76" t="s">
        <v>82</v>
      </c>
      <c r="U76">
        <v>10</v>
      </c>
    </row>
    <row r="78" spans="20:21" x14ac:dyDescent="0.35">
      <c r="T78" t="s">
        <v>79</v>
      </c>
      <c r="U78">
        <f>-LN($U$1)*21.35+88.819</f>
        <v>39.658808264577118</v>
      </c>
    </row>
    <row r="79" spans="20:21" x14ac:dyDescent="0.35">
      <c r="T79" t="s">
        <v>80</v>
      </c>
      <c r="U79">
        <f>-LN($U$1)*19.43+76.34</f>
        <v>31.60077164312569</v>
      </c>
    </row>
    <row r="80" spans="20:21" x14ac:dyDescent="0.35">
      <c r="T80" t="s">
        <v>81</v>
      </c>
      <c r="U80">
        <f>-LN($U$1)*23.22+97.244</f>
        <v>43.777974140678253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Mission Rock</vt:lpstr>
      <vt:lpstr>U of U</vt:lpstr>
      <vt:lpstr>Infiltration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Steven Bartlett</dc:creator>
  <cp:lastModifiedBy>Steven Bartlett</cp:lastModifiedBy>
  <dcterms:created xsi:type="dcterms:W3CDTF">2025-04-07T22:02:38Z</dcterms:created>
  <dcterms:modified xsi:type="dcterms:W3CDTF">2025-04-22T15:58:20Z</dcterms:modified>
</cp:coreProperties>
</file>